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00" yWindow="45" windowWidth="15375" windowHeight="1240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'!$A$1:$AF$43</definedName>
    <definedName name="_xlnm.Print_Area" localSheetId="1">РАСХОДЫ!$A$1:$AF$90</definedName>
  </definedNames>
  <calcPr calcId="144525" iterate="1"/>
</workbook>
</file>

<file path=xl/calcChain.xml><?xml version="1.0" encoding="utf-8"?>
<calcChain xmlns="http://schemas.openxmlformats.org/spreadsheetml/2006/main">
  <c r="AF31" i="1" l="1"/>
  <c r="AF32" i="1"/>
  <c r="AF7" i="1"/>
  <c r="AF26" i="2"/>
  <c r="AF90" i="2"/>
  <c r="AF37" i="2"/>
  <c r="AF60" i="2"/>
  <c r="AF89" i="2"/>
  <c r="AD86" i="2"/>
  <c r="AF85" i="2"/>
  <c r="AF83" i="2"/>
  <c r="AF78" i="2"/>
  <c r="AF77" i="2"/>
  <c r="AF76" i="2"/>
  <c r="AD75" i="2"/>
  <c r="AF74" i="2"/>
  <c r="AF72" i="2"/>
  <c r="AF71" i="2"/>
  <c r="AF70" i="2"/>
  <c r="AF69" i="2"/>
  <c r="AE74" i="2"/>
  <c r="AE60" i="2"/>
  <c r="AF67" i="2"/>
  <c r="AF63" i="2"/>
  <c r="AF62" i="2"/>
  <c r="AF61" i="2"/>
  <c r="AE64" i="2"/>
  <c r="AE65" i="2"/>
  <c r="AE66" i="2"/>
  <c r="AD60" i="2"/>
  <c r="AF58" i="2"/>
  <c r="AF56" i="2"/>
  <c r="AF54" i="2"/>
  <c r="AF53" i="2"/>
  <c r="AF52" i="2"/>
  <c r="AF51" i="2"/>
  <c r="AF50" i="2"/>
  <c r="AF49" i="2"/>
  <c r="AE55" i="2"/>
  <c r="AF45" i="2"/>
  <c r="AF42" i="2"/>
  <c r="AF39" i="2"/>
  <c r="AF38" i="2"/>
  <c r="AE26" i="2"/>
  <c r="AF36" i="2"/>
  <c r="AF35" i="2"/>
  <c r="AF33" i="2"/>
  <c r="AF32" i="2"/>
  <c r="AF31" i="2"/>
  <c r="AF30" i="2"/>
  <c r="AE32" i="2"/>
  <c r="AF29" i="2"/>
  <c r="AF27" i="2"/>
  <c r="AF25" i="2"/>
  <c r="AF24" i="2"/>
  <c r="AF23" i="2"/>
  <c r="AF20" i="2"/>
  <c r="AF17" i="2"/>
  <c r="AF13" i="2"/>
  <c r="AF12" i="2"/>
  <c r="AF11" i="2"/>
  <c r="AF10" i="2"/>
  <c r="AF9" i="2"/>
  <c r="AF8" i="2"/>
  <c r="AE11" i="2"/>
  <c r="AE12" i="2"/>
  <c r="AE88" i="2"/>
  <c r="AE87" i="2"/>
  <c r="AE85" i="2"/>
  <c r="AE82" i="2"/>
  <c r="AE83" i="2"/>
  <c r="AE81" i="2"/>
  <c r="AE77" i="2"/>
  <c r="AE78" i="2"/>
  <c r="AE79" i="2"/>
  <c r="AE76" i="2"/>
  <c r="AE70" i="2"/>
  <c r="AE71" i="2"/>
  <c r="AE72" i="2"/>
  <c r="AE73" i="2"/>
  <c r="AE69" i="2"/>
  <c r="AE62" i="2"/>
  <c r="AE63" i="2"/>
  <c r="AE67" i="2"/>
  <c r="AE61" i="2"/>
  <c r="AE59" i="2"/>
  <c r="AE58" i="2"/>
  <c r="AE50" i="2"/>
  <c r="AE51" i="2"/>
  <c r="AE52" i="2"/>
  <c r="AE53" i="2"/>
  <c r="AE54" i="2"/>
  <c r="AE56" i="2"/>
  <c r="AE49" i="2"/>
  <c r="AE45" i="2"/>
  <c r="AE46" i="2"/>
  <c r="AE47" i="2"/>
  <c r="AE39" i="2"/>
  <c r="AE40" i="2"/>
  <c r="AE42" i="2"/>
  <c r="AE38" i="2"/>
  <c r="AE36" i="2"/>
  <c r="AE28" i="2"/>
  <c r="AE29" i="2"/>
  <c r="AE30" i="2"/>
  <c r="AE31" i="2"/>
  <c r="AE33" i="2"/>
  <c r="AE34" i="2"/>
  <c r="AE35" i="2"/>
  <c r="AE27" i="2"/>
  <c r="AE23" i="2"/>
  <c r="AE24" i="2"/>
  <c r="AE25" i="2"/>
  <c r="AE22" i="2"/>
  <c r="AE20" i="2"/>
  <c r="AE19" i="2"/>
  <c r="AE9" i="2"/>
  <c r="AE10" i="2"/>
  <c r="AE13" i="2"/>
  <c r="AE15" i="2"/>
  <c r="AE16" i="2"/>
  <c r="AE17" i="2"/>
  <c r="AE8" i="2"/>
  <c r="AC86" i="2"/>
  <c r="AC84" i="2"/>
  <c r="AD84" i="2"/>
  <c r="AC80" i="2"/>
  <c r="AD80" i="2"/>
  <c r="AC75" i="2"/>
  <c r="AC68" i="2"/>
  <c r="AD68" i="2"/>
  <c r="AC60" i="2"/>
  <c r="AC57" i="2"/>
  <c r="AD57" i="2"/>
  <c r="AC48" i="2"/>
  <c r="AD43" i="2"/>
  <c r="AC43" i="2"/>
  <c r="AC37" i="2"/>
  <c r="AD37" i="2"/>
  <c r="AC26" i="2"/>
  <c r="AD26" i="2"/>
  <c r="AB26" i="2"/>
  <c r="AC21" i="2"/>
  <c r="AD21" i="2"/>
  <c r="AC18" i="2"/>
  <c r="AD18" i="2"/>
  <c r="AC7" i="2"/>
  <c r="AC9" i="2"/>
  <c r="AC10" i="2"/>
  <c r="AC11" i="2"/>
  <c r="AC12" i="2"/>
  <c r="AC13" i="2"/>
  <c r="AC15" i="2"/>
  <c r="AC16" i="2"/>
  <c r="AC17" i="2"/>
  <c r="AC19" i="2"/>
  <c r="AC20" i="2"/>
  <c r="AC22" i="2"/>
  <c r="AC23" i="2"/>
  <c r="AC24" i="2"/>
  <c r="AC25" i="2"/>
  <c r="AC27" i="2"/>
  <c r="AC28" i="2"/>
  <c r="AC29" i="2"/>
  <c r="AC30" i="2"/>
  <c r="AC31" i="2"/>
  <c r="AC32" i="2"/>
  <c r="AC33" i="2"/>
  <c r="AC34" i="2"/>
  <c r="AC35" i="2"/>
  <c r="AC36" i="2"/>
  <c r="AC38" i="2"/>
  <c r="AC39" i="2"/>
  <c r="AC40" i="2"/>
  <c r="AC42" i="2"/>
  <c r="AC45" i="2"/>
  <c r="AC46" i="2"/>
  <c r="AC47" i="2"/>
  <c r="AC49" i="2"/>
  <c r="AC50" i="2"/>
  <c r="AC51" i="2"/>
  <c r="AC52" i="2"/>
  <c r="AC53" i="2"/>
  <c r="AC54" i="2"/>
  <c r="AC55" i="2"/>
  <c r="AC56" i="2"/>
  <c r="AC58" i="2"/>
  <c r="AC59" i="2"/>
  <c r="AC61" i="2"/>
  <c r="AC62" i="2"/>
  <c r="AC63" i="2"/>
  <c r="AC64" i="2"/>
  <c r="AC65" i="2"/>
  <c r="AC66" i="2"/>
  <c r="AC67" i="2"/>
  <c r="AC69" i="2"/>
  <c r="AC70" i="2"/>
  <c r="AC71" i="2"/>
  <c r="AC72" i="2"/>
  <c r="AC73" i="2"/>
  <c r="AC74" i="2"/>
  <c r="AC76" i="2"/>
  <c r="AC77" i="2"/>
  <c r="AC78" i="2"/>
  <c r="AC79" i="2"/>
  <c r="AC81" i="2"/>
  <c r="AC82" i="2"/>
  <c r="AC83" i="2"/>
  <c r="AC85" i="2"/>
  <c r="AC87" i="2"/>
  <c r="AC88" i="2"/>
  <c r="AC89" i="2"/>
  <c r="AC8" i="2"/>
  <c r="AE89" i="2" l="1"/>
  <c r="AD48" i="2"/>
  <c r="AD7" i="2"/>
  <c r="AD90" i="2" s="1"/>
  <c r="AC90" i="2"/>
  <c r="AD43" i="1"/>
  <c r="AF42" i="1"/>
  <c r="AF41" i="1"/>
  <c r="AF39" i="1"/>
  <c r="AF38" i="1"/>
  <c r="AE32" i="1"/>
  <c r="AF36" i="1"/>
  <c r="AF34" i="1"/>
  <c r="AF33" i="1"/>
  <c r="AD32" i="1"/>
  <c r="AD31" i="1" s="1"/>
  <c r="AE36" i="1"/>
  <c r="AE7" i="1"/>
  <c r="AD7" i="1"/>
  <c r="AF30" i="1"/>
  <c r="AF29" i="1"/>
  <c r="AF28" i="1"/>
  <c r="AF27" i="1"/>
  <c r="AF26" i="1"/>
  <c r="AF25" i="1"/>
  <c r="AF24" i="1"/>
  <c r="AE30" i="1"/>
  <c r="AE27" i="1"/>
  <c r="AF22" i="1"/>
  <c r="AE34" i="1"/>
  <c r="AE35" i="1"/>
  <c r="AE38" i="1"/>
  <c r="AE39" i="1"/>
  <c r="AE40" i="1"/>
  <c r="AE41" i="1"/>
  <c r="AE42" i="1"/>
  <c r="AE33" i="1"/>
  <c r="AE24" i="1"/>
  <c r="AE25" i="1"/>
  <c r="AE26" i="1"/>
  <c r="AE28" i="1"/>
  <c r="AE29" i="1"/>
  <c r="AE22" i="1"/>
  <c r="AE21" i="1"/>
  <c r="AE20" i="1"/>
  <c r="AE18" i="1"/>
  <c r="AE19" i="1"/>
  <c r="AE17" i="1"/>
  <c r="AE15" i="1"/>
  <c r="AE14" i="1"/>
  <c r="AE12" i="1"/>
  <c r="AE10" i="1"/>
  <c r="AE9" i="1"/>
  <c r="AB31" i="1"/>
  <c r="AC7" i="1"/>
  <c r="AC34" i="1"/>
  <c r="AC35" i="1"/>
  <c r="AC36" i="1"/>
  <c r="AC38" i="1"/>
  <c r="AC39" i="1"/>
  <c r="AC40" i="1"/>
  <c r="AC41" i="1"/>
  <c r="AC42" i="1"/>
  <c r="AC33" i="1"/>
  <c r="AC32" i="1"/>
  <c r="AC31" i="1" s="1"/>
  <c r="AC43" i="1" s="1"/>
  <c r="AC24" i="1"/>
  <c r="AC25" i="1"/>
  <c r="AC26" i="1"/>
  <c r="AC27" i="1"/>
  <c r="AC28" i="1"/>
  <c r="AC29" i="1"/>
  <c r="AC30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AB37" i="2" l="1"/>
  <c r="AF88" i="2"/>
  <c r="AB60" i="2"/>
  <c r="AB48" i="2"/>
  <c r="AE37" i="2"/>
  <c r="AF15" i="2"/>
  <c r="AA75" i="2"/>
  <c r="AA60" i="2"/>
  <c r="AA43" i="2"/>
  <c r="AA37" i="2"/>
  <c r="AA26" i="2"/>
  <c r="AA86" i="2"/>
  <c r="AB86" i="2"/>
  <c r="AA84" i="2"/>
  <c r="AB84" i="2"/>
  <c r="AA80" i="2"/>
  <c r="AB75" i="2"/>
  <c r="AA68" i="2"/>
  <c r="AA57" i="2"/>
  <c r="AB57" i="2"/>
  <c r="AA48" i="2"/>
  <c r="AA21" i="2"/>
  <c r="AA18" i="2"/>
  <c r="AA7" i="2"/>
  <c r="AA90" i="2" s="1"/>
  <c r="AA9" i="2"/>
  <c r="AA10" i="2"/>
  <c r="AA11" i="2"/>
  <c r="AA12" i="2"/>
  <c r="AA13" i="2"/>
  <c r="AA15" i="2"/>
  <c r="AA16" i="2"/>
  <c r="AA17" i="2"/>
  <c r="AA19" i="2"/>
  <c r="AA20" i="2"/>
  <c r="AA22" i="2"/>
  <c r="AA23" i="2"/>
  <c r="AA24" i="2"/>
  <c r="AA25" i="2"/>
  <c r="AA27" i="2"/>
  <c r="AA28" i="2"/>
  <c r="AA29" i="2"/>
  <c r="AA30" i="2"/>
  <c r="AA31" i="2"/>
  <c r="AA32" i="2"/>
  <c r="AA33" i="2"/>
  <c r="AA34" i="2"/>
  <c r="AA35" i="2"/>
  <c r="AA36" i="2"/>
  <c r="AA38" i="2"/>
  <c r="AA39" i="2"/>
  <c r="AA40" i="2"/>
  <c r="AA42" i="2"/>
  <c r="AA45" i="2"/>
  <c r="AA46" i="2"/>
  <c r="AA47" i="2"/>
  <c r="AA49" i="2"/>
  <c r="AA50" i="2"/>
  <c r="AA51" i="2"/>
  <c r="AA52" i="2"/>
  <c r="AA53" i="2"/>
  <c r="AA54" i="2"/>
  <c r="AA55" i="2"/>
  <c r="AA56" i="2"/>
  <c r="AA58" i="2"/>
  <c r="AA59" i="2"/>
  <c r="AA61" i="2"/>
  <c r="AA62" i="2"/>
  <c r="AA63" i="2"/>
  <c r="AA64" i="2"/>
  <c r="AA65" i="2"/>
  <c r="AA66" i="2"/>
  <c r="AA67" i="2"/>
  <c r="AA69" i="2"/>
  <c r="AA70" i="2"/>
  <c r="AA71" i="2"/>
  <c r="AA72" i="2"/>
  <c r="AA73" i="2"/>
  <c r="AA74" i="2"/>
  <c r="AA76" i="2"/>
  <c r="AA77" i="2"/>
  <c r="AA78" i="2"/>
  <c r="AA79" i="2"/>
  <c r="AA81" i="2"/>
  <c r="AA82" i="2"/>
  <c r="AA83" i="2"/>
  <c r="AA85" i="2"/>
  <c r="AA87" i="2"/>
  <c r="AA88" i="2"/>
  <c r="AA89" i="2"/>
  <c r="AA8" i="2"/>
  <c r="AB7" i="1"/>
  <c r="AF40" i="1"/>
  <c r="AB32" i="1"/>
  <c r="AF21" i="1"/>
  <c r="AF20" i="1"/>
  <c r="AF19" i="1"/>
  <c r="AF18" i="1"/>
  <c r="AF17" i="1"/>
  <c r="AF15" i="1"/>
  <c r="AF14" i="1"/>
  <c r="AF12" i="1"/>
  <c r="AF10" i="1"/>
  <c r="AF9" i="1"/>
  <c r="AF8" i="1"/>
  <c r="AB16" i="1"/>
  <c r="AE16" i="1"/>
  <c r="AE13" i="1"/>
  <c r="AE11" i="1"/>
  <c r="AE8" i="1"/>
  <c r="AB19" i="1"/>
  <c r="AB13" i="1"/>
  <c r="AB11" i="1"/>
  <c r="AB8" i="1"/>
  <c r="AA34" i="1"/>
  <c r="AA35" i="1"/>
  <c r="AA36" i="1"/>
  <c r="AA38" i="1"/>
  <c r="AA39" i="1"/>
  <c r="AA40" i="1"/>
  <c r="AA41" i="1"/>
  <c r="AA42" i="1"/>
  <c r="AA33" i="1"/>
  <c r="AA32" i="1"/>
  <c r="AA31" i="1" s="1"/>
  <c r="AA24" i="1"/>
  <c r="AA25" i="1"/>
  <c r="AA26" i="1"/>
  <c r="AA27" i="1"/>
  <c r="AA28" i="1"/>
  <c r="AA29" i="1"/>
  <c r="AA30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8" i="1" s="1"/>
  <c r="AA9" i="1"/>
  <c r="AB7" i="2" l="1"/>
  <c r="AB90" i="2" s="1"/>
  <c r="AB43" i="1"/>
  <c r="AA7" i="1"/>
  <c r="AA43" i="1" s="1"/>
  <c r="AF68" i="2"/>
  <c r="AF48" i="2"/>
  <c r="AF43" i="2"/>
  <c r="AF21" i="2"/>
  <c r="AF84" i="2"/>
  <c r="AE68" i="2"/>
  <c r="AF73" i="2"/>
  <c r="AF66" i="2"/>
  <c r="AF64" i="2"/>
  <c r="Z48" i="2"/>
  <c r="AF47" i="2"/>
  <c r="AF40" i="2"/>
  <c r="AF34" i="2"/>
  <c r="AF28" i="2"/>
  <c r="AF22" i="2"/>
  <c r="Y8" i="2"/>
  <c r="Y86" i="2"/>
  <c r="Z86" i="2"/>
  <c r="Y84" i="2"/>
  <c r="Z84" i="2"/>
  <c r="Y80" i="2"/>
  <c r="Z80" i="2"/>
  <c r="Y75" i="2"/>
  <c r="Z75" i="2"/>
  <c r="Z68" i="2"/>
  <c r="Z57" i="2"/>
  <c r="Z43" i="2"/>
  <c r="Z37" i="2"/>
  <c r="Z26" i="2"/>
  <c r="Z21" i="2"/>
  <c r="Y76" i="2"/>
  <c r="Y77" i="2"/>
  <c r="Y78" i="2"/>
  <c r="Y79" i="2"/>
  <c r="Y81" i="2"/>
  <c r="Y82" i="2"/>
  <c r="Y83" i="2"/>
  <c r="Y85" i="2"/>
  <c r="Y87" i="2"/>
  <c r="Y88" i="2"/>
  <c r="Y89" i="2"/>
  <c r="Z7" i="2"/>
  <c r="AE31" i="1"/>
  <c r="AF35" i="1"/>
  <c r="Z11" i="1"/>
  <c r="Y31" i="1"/>
  <c r="Y32" i="1"/>
  <c r="Y7" i="1"/>
  <c r="Z7" i="1"/>
  <c r="Y34" i="1"/>
  <c r="Y35" i="1"/>
  <c r="Y36" i="1"/>
  <c r="Y38" i="1"/>
  <c r="Y39" i="1"/>
  <c r="Y40" i="1"/>
  <c r="Y41" i="1"/>
  <c r="Y42" i="1"/>
  <c r="Y33" i="1"/>
  <c r="Y24" i="1"/>
  <c r="Y25" i="1"/>
  <c r="Y26" i="1"/>
  <c r="Y27" i="1"/>
  <c r="Y28" i="1"/>
  <c r="Y29" i="1"/>
  <c r="Y30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Z60" i="2" l="1"/>
  <c r="Z90" i="2"/>
  <c r="Z32" i="1"/>
  <c r="Z31" i="1" s="1"/>
  <c r="Z43" i="1" s="1"/>
  <c r="Y43" i="1"/>
  <c r="AF87" i="2"/>
  <c r="X75" i="2"/>
  <c r="AF65" i="2"/>
  <c r="X60" i="2"/>
  <c r="X26" i="2"/>
  <c r="X86" i="2"/>
  <c r="W86" i="2"/>
  <c r="W84" i="2"/>
  <c r="W80" i="2"/>
  <c r="W75" i="2"/>
  <c r="X68" i="2"/>
  <c r="X57" i="2"/>
  <c r="X48" i="2"/>
  <c r="X43" i="2"/>
  <c r="X37" i="2"/>
  <c r="X21" i="2"/>
  <c r="X7" i="2"/>
  <c r="W76" i="2"/>
  <c r="W77" i="2"/>
  <c r="W78" i="2"/>
  <c r="W79" i="2"/>
  <c r="W81" i="2"/>
  <c r="W82" i="2"/>
  <c r="W83" i="2"/>
  <c r="W85" i="2"/>
  <c r="W87" i="2"/>
  <c r="W88" i="2"/>
  <c r="W89" i="2"/>
  <c r="W8" i="2"/>
  <c r="X32" i="1"/>
  <c r="X31" i="1" s="1"/>
  <c r="X19" i="1"/>
  <c r="AF16" i="1"/>
  <c r="X16" i="1"/>
  <c r="AF13" i="1"/>
  <c r="X13" i="1"/>
  <c r="X11" i="1"/>
  <c r="V7" i="1"/>
  <c r="X7" i="1"/>
  <c r="X43" i="1" s="1"/>
  <c r="X8" i="1"/>
  <c r="W18" i="1"/>
  <c r="W34" i="1"/>
  <c r="W35" i="1"/>
  <c r="W36" i="1"/>
  <c r="W38" i="1"/>
  <c r="W39" i="1"/>
  <c r="W40" i="1"/>
  <c r="W41" i="1"/>
  <c r="W42" i="1"/>
  <c r="W33" i="1"/>
  <c r="W32" i="1"/>
  <c r="W24" i="1"/>
  <c r="W25" i="1"/>
  <c r="W26" i="1"/>
  <c r="W27" i="1"/>
  <c r="W28" i="1"/>
  <c r="W29" i="1"/>
  <c r="W30" i="1"/>
  <c r="W22" i="1"/>
  <c r="W21" i="1"/>
  <c r="W20" i="1"/>
  <c r="W19" i="1"/>
  <c r="W17" i="1"/>
  <c r="W16" i="1" s="1"/>
  <c r="W15" i="1"/>
  <c r="W14" i="1"/>
  <c r="W13" i="1"/>
  <c r="W12" i="1"/>
  <c r="W11" i="1"/>
  <c r="W7" i="1" s="1"/>
  <c r="W10" i="1"/>
  <c r="W9" i="1"/>
  <c r="W8" i="1"/>
  <c r="X90" i="2" l="1"/>
  <c r="AF18" i="2"/>
  <c r="AF75" i="2"/>
  <c r="AF79" i="2"/>
  <c r="AF59" i="2"/>
  <c r="V37" i="2"/>
  <c r="AF19" i="2"/>
  <c r="U86" i="2"/>
  <c r="V86" i="2"/>
  <c r="U84" i="2"/>
  <c r="U80" i="2"/>
  <c r="U75" i="2"/>
  <c r="V75" i="2"/>
  <c r="V57" i="2"/>
  <c r="V48" i="2"/>
  <c r="V43" i="2"/>
  <c r="V26" i="2"/>
  <c r="V21" i="2"/>
  <c r="V18" i="2"/>
  <c r="V7" i="2"/>
  <c r="U55" i="2"/>
  <c r="W55" i="2" s="1"/>
  <c r="Y55" i="2" s="1"/>
  <c r="U76" i="2"/>
  <c r="U77" i="2"/>
  <c r="U78" i="2"/>
  <c r="U79" i="2"/>
  <c r="U81" i="2"/>
  <c r="U82" i="2"/>
  <c r="U83" i="2"/>
  <c r="U85" i="2"/>
  <c r="U87" i="2"/>
  <c r="U88" i="2"/>
  <c r="U89" i="2"/>
  <c r="U8" i="2"/>
  <c r="U24" i="1"/>
  <c r="U25" i="1"/>
  <c r="U26" i="1"/>
  <c r="U27" i="1"/>
  <c r="U28" i="1"/>
  <c r="U29" i="1"/>
  <c r="U30" i="1"/>
  <c r="U22" i="1"/>
  <c r="U21" i="1"/>
  <c r="U20" i="1"/>
  <c r="U19" i="1"/>
  <c r="U18" i="1"/>
  <c r="U17" i="1"/>
  <c r="U16" i="1" s="1"/>
  <c r="U15" i="1"/>
  <c r="U14" i="1"/>
  <c r="U13" i="1"/>
  <c r="U12" i="1"/>
  <c r="U11" i="1"/>
  <c r="U10" i="1"/>
  <c r="U9" i="1"/>
  <c r="U8" i="1"/>
  <c r="U34" i="1"/>
  <c r="U35" i="1"/>
  <c r="U36" i="1"/>
  <c r="U38" i="1"/>
  <c r="U40" i="1"/>
  <c r="U41" i="1"/>
  <c r="U42" i="1"/>
  <c r="U33" i="1"/>
  <c r="U32" i="1"/>
  <c r="V68" i="2" l="1"/>
  <c r="V60" i="2"/>
  <c r="V90" i="2"/>
  <c r="V32" i="1"/>
  <c r="V31" i="1" s="1"/>
  <c r="V43" i="1" s="1"/>
  <c r="U7" i="1"/>
  <c r="U31" i="1"/>
  <c r="W31" i="1" s="1"/>
  <c r="W43" i="1" s="1"/>
  <c r="AE75" i="2"/>
  <c r="AF55" i="2"/>
  <c r="C48" i="2"/>
  <c r="T43" i="2"/>
  <c r="T26" i="2"/>
  <c r="U43" i="1" l="1"/>
  <c r="S86" i="2"/>
  <c r="T86" i="2"/>
  <c r="S84" i="2"/>
  <c r="S80" i="2"/>
  <c r="S75" i="2"/>
  <c r="T75" i="2"/>
  <c r="T68" i="2"/>
  <c r="T60" i="2"/>
  <c r="T57" i="2"/>
  <c r="T48" i="2"/>
  <c r="T37" i="2"/>
  <c r="T21" i="2"/>
  <c r="T7" i="2"/>
  <c r="S76" i="2"/>
  <c r="S77" i="2"/>
  <c r="S78" i="2"/>
  <c r="S79" i="2"/>
  <c r="S81" i="2"/>
  <c r="S82" i="2"/>
  <c r="S83" i="2"/>
  <c r="S85" i="2"/>
  <c r="S87" i="2"/>
  <c r="S88" i="2"/>
  <c r="S89" i="2"/>
  <c r="S8" i="2"/>
  <c r="T11" i="1"/>
  <c r="T7" i="1"/>
  <c r="T32" i="1"/>
  <c r="T31" i="1" s="1"/>
  <c r="AF11" i="1"/>
  <c r="S34" i="1"/>
  <c r="S35" i="1"/>
  <c r="S36" i="1"/>
  <c r="S38" i="1"/>
  <c r="S40" i="1"/>
  <c r="S41" i="1"/>
  <c r="S33" i="1"/>
  <c r="S32" i="1"/>
  <c r="S31" i="1" s="1"/>
  <c r="S7" i="1"/>
  <c r="S24" i="1"/>
  <c r="S25" i="1"/>
  <c r="S26" i="1"/>
  <c r="S27" i="1"/>
  <c r="S28" i="1"/>
  <c r="S29" i="1"/>
  <c r="S30" i="1"/>
  <c r="S22" i="1"/>
  <c r="S21" i="1"/>
  <c r="S20" i="1"/>
  <c r="S19" i="1"/>
  <c r="S18" i="1"/>
  <c r="S17" i="1"/>
  <c r="S16" i="1"/>
  <c r="S15" i="1"/>
  <c r="S13" i="1" s="1"/>
  <c r="S14" i="1"/>
  <c r="S12" i="1"/>
  <c r="S11" i="1"/>
  <c r="S8" i="1"/>
  <c r="S10" i="1"/>
  <c r="S9" i="1"/>
  <c r="S43" i="1" l="1"/>
  <c r="T90" i="2"/>
  <c r="T43" i="1"/>
  <c r="Q86" i="2"/>
  <c r="Q84" i="2"/>
  <c r="Q80" i="2"/>
  <c r="Q75" i="2"/>
  <c r="R60" i="2"/>
  <c r="R37" i="2"/>
  <c r="R7" i="2" l="1"/>
  <c r="Q76" i="2"/>
  <c r="Q77" i="2"/>
  <c r="Q78" i="2"/>
  <c r="Q79" i="2"/>
  <c r="Q81" i="2"/>
  <c r="Q82" i="2"/>
  <c r="Q83" i="2"/>
  <c r="Q85" i="2"/>
  <c r="Q87" i="2"/>
  <c r="Q88" i="2"/>
  <c r="Q89" i="2"/>
  <c r="Q8" i="2"/>
  <c r="R32" i="1"/>
  <c r="R31" i="1" s="1"/>
  <c r="R43" i="1" s="1"/>
  <c r="P7" i="1"/>
  <c r="Q34" i="1"/>
  <c r="Q35" i="1"/>
  <c r="Q36" i="1"/>
  <c r="Q38" i="1"/>
  <c r="Q40" i="1"/>
  <c r="Q41" i="1"/>
  <c r="Q33" i="1"/>
  <c r="Q32" i="1"/>
  <c r="Q31" i="1" s="1"/>
  <c r="Q24" i="1"/>
  <c r="Q25" i="1"/>
  <c r="Q26" i="1"/>
  <c r="Q27" i="1"/>
  <c r="Q28" i="1"/>
  <c r="Q29" i="1"/>
  <c r="Q30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 l="1"/>
  <c r="Q43" i="1" s="1"/>
  <c r="O86" i="2"/>
  <c r="P86" i="2"/>
  <c r="O84" i="2"/>
  <c r="O80" i="2"/>
  <c r="O75" i="2"/>
  <c r="P68" i="2"/>
  <c r="P60" i="2"/>
  <c r="P57" i="2"/>
  <c r="P48" i="2"/>
  <c r="P37" i="2"/>
  <c r="N26" i="2"/>
  <c r="P26" i="2"/>
  <c r="P21" i="2"/>
  <c r="P7" i="2"/>
  <c r="O76" i="2"/>
  <c r="O77" i="2"/>
  <c r="O78" i="2"/>
  <c r="O79" i="2"/>
  <c r="O81" i="2"/>
  <c r="O82" i="2"/>
  <c r="O83" i="2"/>
  <c r="O85" i="2"/>
  <c r="O87" i="2"/>
  <c r="O88" i="2"/>
  <c r="O89" i="2"/>
  <c r="O8" i="2"/>
  <c r="O34" i="1"/>
  <c r="O35" i="1"/>
  <c r="O36" i="1"/>
  <c r="O38" i="1"/>
  <c r="O40" i="1"/>
  <c r="O41" i="1"/>
  <c r="O33" i="1"/>
  <c r="O32" i="1"/>
  <c r="O31" i="1" s="1"/>
  <c r="P32" i="1"/>
  <c r="P31" i="1"/>
  <c r="O7" i="1"/>
  <c r="O24" i="1"/>
  <c r="O25" i="1"/>
  <c r="O26" i="1"/>
  <c r="O27" i="1"/>
  <c r="O28" i="1"/>
  <c r="O29" i="1"/>
  <c r="O30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43" i="1" l="1"/>
  <c r="P90" i="2"/>
  <c r="P43" i="1"/>
  <c r="N48" i="2"/>
  <c r="N86" i="2"/>
  <c r="L84" i="2"/>
  <c r="N75" i="2"/>
  <c r="N68" i="2"/>
  <c r="N60" i="2"/>
  <c r="N57" i="2"/>
  <c r="N43" i="2"/>
  <c r="L37" i="2"/>
  <c r="L26" i="2"/>
  <c r="N21" i="2"/>
  <c r="N7" i="2"/>
  <c r="N37" i="2" l="1"/>
  <c r="N90" i="2"/>
  <c r="N32" i="1"/>
  <c r="N31" i="1" s="1"/>
  <c r="N43" i="1" s="1"/>
  <c r="L48" i="2" l="1"/>
  <c r="L43" i="2"/>
  <c r="L21" i="2"/>
  <c r="L7" i="2"/>
  <c r="L86" i="2"/>
  <c r="L75" i="2"/>
  <c r="L68" i="2"/>
  <c r="L60" i="2"/>
  <c r="L57" i="2"/>
  <c r="L8" i="1"/>
  <c r="L7" i="1"/>
  <c r="K40" i="1"/>
  <c r="M40" i="1" s="1"/>
  <c r="K41" i="1"/>
  <c r="M41" i="1" s="1"/>
  <c r="L32" i="1"/>
  <c r="L31" i="1" s="1"/>
  <c r="L43" i="1" l="1"/>
  <c r="L90" i="2"/>
  <c r="J86" i="2"/>
  <c r="J75" i="2"/>
  <c r="J68" i="2"/>
  <c r="J60" i="2"/>
  <c r="J57" i="2"/>
  <c r="J48" i="2"/>
  <c r="J43" i="2"/>
  <c r="J37" i="2"/>
  <c r="J26" i="2"/>
  <c r="H21" i="2"/>
  <c r="J21" i="2"/>
  <c r="J7" i="2"/>
  <c r="J90" i="2" l="1"/>
  <c r="J32" i="1"/>
  <c r="J31" i="1" s="1"/>
  <c r="J7" i="1"/>
  <c r="J43" i="1" l="1"/>
  <c r="H68" i="2"/>
  <c r="H48" i="2"/>
  <c r="H8" i="1"/>
  <c r="H7" i="1"/>
  <c r="H43" i="1" s="1"/>
  <c r="H90" i="2" l="1"/>
  <c r="F86" i="2" l="1"/>
  <c r="F75" i="2"/>
  <c r="F68" i="2"/>
  <c r="F60" i="2"/>
  <c r="F57" i="2"/>
  <c r="F48" i="2"/>
  <c r="F43" i="2"/>
  <c r="F37" i="2"/>
  <c r="F26" i="2"/>
  <c r="F7" i="2"/>
  <c r="E9" i="2"/>
  <c r="G9" i="2" s="1"/>
  <c r="I9" i="2" s="1"/>
  <c r="K9" i="2" s="1"/>
  <c r="M9" i="2" s="1"/>
  <c r="O9" i="2" s="1"/>
  <c r="E10" i="2"/>
  <c r="G10" i="2" s="1"/>
  <c r="I10" i="2" s="1"/>
  <c r="K10" i="2" s="1"/>
  <c r="M10" i="2" s="1"/>
  <c r="O10" i="2" s="1"/>
  <c r="Q10" i="2" s="1"/>
  <c r="S10" i="2" s="1"/>
  <c r="U10" i="2" s="1"/>
  <c r="W10" i="2" s="1"/>
  <c r="Y10" i="2" s="1"/>
  <c r="E11" i="2"/>
  <c r="G11" i="2" s="1"/>
  <c r="I11" i="2" s="1"/>
  <c r="K11" i="2" s="1"/>
  <c r="M11" i="2" s="1"/>
  <c r="O11" i="2" s="1"/>
  <c r="Q11" i="2" s="1"/>
  <c r="S11" i="2" s="1"/>
  <c r="U11" i="2" s="1"/>
  <c r="W11" i="2" s="1"/>
  <c r="Y11" i="2" s="1"/>
  <c r="E12" i="2"/>
  <c r="G12" i="2" s="1"/>
  <c r="I12" i="2" s="1"/>
  <c r="K12" i="2" s="1"/>
  <c r="M12" i="2" s="1"/>
  <c r="O12" i="2" s="1"/>
  <c r="Q12" i="2" s="1"/>
  <c r="S12" i="2" s="1"/>
  <c r="U12" i="2" s="1"/>
  <c r="W12" i="2" s="1"/>
  <c r="Y12" i="2" s="1"/>
  <c r="E13" i="2"/>
  <c r="G13" i="2" s="1"/>
  <c r="I13" i="2" s="1"/>
  <c r="K13" i="2" s="1"/>
  <c r="M13" i="2" s="1"/>
  <c r="O13" i="2" s="1"/>
  <c r="Q13" i="2" s="1"/>
  <c r="S13" i="2" s="1"/>
  <c r="U13" i="2" s="1"/>
  <c r="W13" i="2" s="1"/>
  <c r="Y13" i="2" s="1"/>
  <c r="E15" i="2"/>
  <c r="G15" i="2" s="1"/>
  <c r="I15" i="2" s="1"/>
  <c r="K15" i="2" s="1"/>
  <c r="M15" i="2" s="1"/>
  <c r="O15" i="2" s="1"/>
  <c r="Q15" i="2" s="1"/>
  <c r="S15" i="2" s="1"/>
  <c r="U15" i="2" s="1"/>
  <c r="W15" i="2" s="1"/>
  <c r="Y15" i="2" s="1"/>
  <c r="E16" i="2"/>
  <c r="G16" i="2" s="1"/>
  <c r="I16" i="2" s="1"/>
  <c r="K16" i="2" s="1"/>
  <c r="M16" i="2" s="1"/>
  <c r="O16" i="2" s="1"/>
  <c r="Q16" i="2" s="1"/>
  <c r="S16" i="2" s="1"/>
  <c r="U16" i="2" s="1"/>
  <c r="W16" i="2" s="1"/>
  <c r="Y16" i="2" s="1"/>
  <c r="E17" i="2"/>
  <c r="G17" i="2" s="1"/>
  <c r="I17" i="2" s="1"/>
  <c r="K17" i="2" s="1"/>
  <c r="M17" i="2" s="1"/>
  <c r="O17" i="2" s="1"/>
  <c r="Q17" i="2" s="1"/>
  <c r="S17" i="2" s="1"/>
  <c r="U17" i="2" s="1"/>
  <c r="W17" i="2" s="1"/>
  <c r="Y17" i="2" s="1"/>
  <c r="E19" i="2"/>
  <c r="G19" i="2" s="1"/>
  <c r="E20" i="2"/>
  <c r="G20" i="2" s="1"/>
  <c r="I20" i="2" s="1"/>
  <c r="K20" i="2" s="1"/>
  <c r="M20" i="2" s="1"/>
  <c r="O20" i="2" s="1"/>
  <c r="Q20" i="2" s="1"/>
  <c r="S20" i="2" s="1"/>
  <c r="U20" i="2" s="1"/>
  <c r="W20" i="2" s="1"/>
  <c r="Y20" i="2" s="1"/>
  <c r="E22" i="2"/>
  <c r="G22" i="2" s="1"/>
  <c r="E23" i="2"/>
  <c r="G23" i="2" s="1"/>
  <c r="I23" i="2" s="1"/>
  <c r="K23" i="2" s="1"/>
  <c r="M23" i="2" s="1"/>
  <c r="O23" i="2" s="1"/>
  <c r="Q23" i="2" s="1"/>
  <c r="S23" i="2" s="1"/>
  <c r="U23" i="2" s="1"/>
  <c r="W23" i="2" s="1"/>
  <c r="Y23" i="2" s="1"/>
  <c r="E24" i="2"/>
  <c r="G24" i="2" s="1"/>
  <c r="I24" i="2" s="1"/>
  <c r="K24" i="2" s="1"/>
  <c r="M24" i="2" s="1"/>
  <c r="O24" i="2" s="1"/>
  <c r="Q24" i="2" s="1"/>
  <c r="S24" i="2" s="1"/>
  <c r="U24" i="2" s="1"/>
  <c r="W24" i="2" s="1"/>
  <c r="Y24" i="2" s="1"/>
  <c r="E25" i="2"/>
  <c r="G25" i="2" s="1"/>
  <c r="I25" i="2" s="1"/>
  <c r="K25" i="2" s="1"/>
  <c r="M25" i="2" s="1"/>
  <c r="O25" i="2" s="1"/>
  <c r="Q25" i="2" s="1"/>
  <c r="S25" i="2" s="1"/>
  <c r="U25" i="2" s="1"/>
  <c r="W25" i="2" s="1"/>
  <c r="Y25" i="2" s="1"/>
  <c r="E27" i="2"/>
  <c r="G27" i="2" s="1"/>
  <c r="E28" i="2"/>
  <c r="G28" i="2" s="1"/>
  <c r="I28" i="2" s="1"/>
  <c r="K28" i="2" s="1"/>
  <c r="M28" i="2" s="1"/>
  <c r="O28" i="2" s="1"/>
  <c r="Q28" i="2" s="1"/>
  <c r="S28" i="2" s="1"/>
  <c r="U28" i="2" s="1"/>
  <c r="W28" i="2" s="1"/>
  <c r="Y28" i="2" s="1"/>
  <c r="E29" i="2"/>
  <c r="G29" i="2" s="1"/>
  <c r="I29" i="2" s="1"/>
  <c r="K29" i="2" s="1"/>
  <c r="M29" i="2" s="1"/>
  <c r="O29" i="2" s="1"/>
  <c r="Q29" i="2" s="1"/>
  <c r="S29" i="2" s="1"/>
  <c r="U29" i="2" s="1"/>
  <c r="W29" i="2" s="1"/>
  <c r="Y29" i="2" s="1"/>
  <c r="E30" i="2"/>
  <c r="G30" i="2" s="1"/>
  <c r="I30" i="2" s="1"/>
  <c r="K30" i="2" s="1"/>
  <c r="M30" i="2" s="1"/>
  <c r="O30" i="2" s="1"/>
  <c r="Q30" i="2" s="1"/>
  <c r="S30" i="2" s="1"/>
  <c r="U30" i="2" s="1"/>
  <c r="W30" i="2" s="1"/>
  <c r="Y30" i="2" s="1"/>
  <c r="E31" i="2"/>
  <c r="G31" i="2" s="1"/>
  <c r="I31" i="2" s="1"/>
  <c r="K31" i="2" s="1"/>
  <c r="M31" i="2" s="1"/>
  <c r="O31" i="2" s="1"/>
  <c r="Q31" i="2" s="1"/>
  <c r="S31" i="2" s="1"/>
  <c r="U31" i="2" s="1"/>
  <c r="W31" i="2" s="1"/>
  <c r="Y31" i="2" s="1"/>
  <c r="E32" i="2"/>
  <c r="G32" i="2" s="1"/>
  <c r="I32" i="2" s="1"/>
  <c r="K32" i="2" s="1"/>
  <c r="M32" i="2" s="1"/>
  <c r="O32" i="2" s="1"/>
  <c r="Q32" i="2" s="1"/>
  <c r="S32" i="2" s="1"/>
  <c r="U32" i="2" s="1"/>
  <c r="W32" i="2" s="1"/>
  <c r="Y32" i="2" s="1"/>
  <c r="E33" i="2"/>
  <c r="G33" i="2" s="1"/>
  <c r="I33" i="2" s="1"/>
  <c r="K33" i="2" s="1"/>
  <c r="M33" i="2" s="1"/>
  <c r="O33" i="2" s="1"/>
  <c r="Q33" i="2" s="1"/>
  <c r="S33" i="2" s="1"/>
  <c r="U33" i="2" s="1"/>
  <c r="W33" i="2" s="1"/>
  <c r="Y33" i="2" s="1"/>
  <c r="E34" i="2"/>
  <c r="G34" i="2" s="1"/>
  <c r="I34" i="2" s="1"/>
  <c r="K34" i="2" s="1"/>
  <c r="M34" i="2" s="1"/>
  <c r="O34" i="2" s="1"/>
  <c r="Q34" i="2" s="1"/>
  <c r="S34" i="2" s="1"/>
  <c r="U34" i="2" s="1"/>
  <c r="W34" i="2" s="1"/>
  <c r="Y34" i="2" s="1"/>
  <c r="E35" i="2"/>
  <c r="G35" i="2" s="1"/>
  <c r="I35" i="2" s="1"/>
  <c r="K35" i="2" s="1"/>
  <c r="M35" i="2" s="1"/>
  <c r="O35" i="2" s="1"/>
  <c r="Q35" i="2" s="1"/>
  <c r="S35" i="2" s="1"/>
  <c r="U35" i="2" s="1"/>
  <c r="W35" i="2" s="1"/>
  <c r="Y35" i="2" s="1"/>
  <c r="E36" i="2"/>
  <c r="G36" i="2" s="1"/>
  <c r="I36" i="2" s="1"/>
  <c r="K36" i="2" s="1"/>
  <c r="M36" i="2" s="1"/>
  <c r="O36" i="2" s="1"/>
  <c r="Q36" i="2" s="1"/>
  <c r="S36" i="2" s="1"/>
  <c r="U36" i="2" s="1"/>
  <c r="W36" i="2" s="1"/>
  <c r="Y36" i="2" s="1"/>
  <c r="E38" i="2"/>
  <c r="G38" i="2" s="1"/>
  <c r="E39" i="2"/>
  <c r="G39" i="2" s="1"/>
  <c r="I39" i="2" s="1"/>
  <c r="K39" i="2" s="1"/>
  <c r="M39" i="2" s="1"/>
  <c r="O39" i="2" s="1"/>
  <c r="Q39" i="2" s="1"/>
  <c r="S39" i="2" s="1"/>
  <c r="U39" i="2" s="1"/>
  <c r="W39" i="2" s="1"/>
  <c r="Y39" i="2" s="1"/>
  <c r="E40" i="2"/>
  <c r="G40" i="2" s="1"/>
  <c r="I40" i="2" s="1"/>
  <c r="K40" i="2" s="1"/>
  <c r="M40" i="2" s="1"/>
  <c r="O40" i="2" s="1"/>
  <c r="Q40" i="2" s="1"/>
  <c r="S40" i="2" s="1"/>
  <c r="U40" i="2" s="1"/>
  <c r="W40" i="2" s="1"/>
  <c r="Y40" i="2" s="1"/>
  <c r="E42" i="2"/>
  <c r="G42" i="2" s="1"/>
  <c r="I42" i="2" s="1"/>
  <c r="K42" i="2" s="1"/>
  <c r="M42" i="2" s="1"/>
  <c r="O42" i="2" s="1"/>
  <c r="Q42" i="2" s="1"/>
  <c r="S42" i="2" s="1"/>
  <c r="U42" i="2" s="1"/>
  <c r="W42" i="2" s="1"/>
  <c r="Y42" i="2" s="1"/>
  <c r="E45" i="2"/>
  <c r="G45" i="2" s="1"/>
  <c r="E46" i="2"/>
  <c r="G46" i="2" s="1"/>
  <c r="I46" i="2" s="1"/>
  <c r="K46" i="2" s="1"/>
  <c r="M46" i="2" s="1"/>
  <c r="O46" i="2" s="1"/>
  <c r="Q46" i="2" s="1"/>
  <c r="S46" i="2" s="1"/>
  <c r="U46" i="2" s="1"/>
  <c r="W46" i="2" s="1"/>
  <c r="Y46" i="2" s="1"/>
  <c r="E47" i="2"/>
  <c r="G47" i="2" s="1"/>
  <c r="I47" i="2" s="1"/>
  <c r="K47" i="2" s="1"/>
  <c r="M47" i="2" s="1"/>
  <c r="O47" i="2" s="1"/>
  <c r="Q47" i="2" s="1"/>
  <c r="S47" i="2" s="1"/>
  <c r="U47" i="2" s="1"/>
  <c r="W47" i="2" s="1"/>
  <c r="Y47" i="2" s="1"/>
  <c r="E49" i="2"/>
  <c r="G49" i="2" s="1"/>
  <c r="E50" i="2"/>
  <c r="G50" i="2" s="1"/>
  <c r="I50" i="2" s="1"/>
  <c r="K50" i="2" s="1"/>
  <c r="M50" i="2" s="1"/>
  <c r="O50" i="2" s="1"/>
  <c r="Q50" i="2" s="1"/>
  <c r="S50" i="2" s="1"/>
  <c r="U50" i="2" s="1"/>
  <c r="W50" i="2" s="1"/>
  <c r="Y50" i="2" s="1"/>
  <c r="E51" i="2"/>
  <c r="G51" i="2" s="1"/>
  <c r="I51" i="2" s="1"/>
  <c r="K51" i="2" s="1"/>
  <c r="M51" i="2" s="1"/>
  <c r="O51" i="2" s="1"/>
  <c r="Q51" i="2" s="1"/>
  <c r="S51" i="2" s="1"/>
  <c r="U51" i="2" s="1"/>
  <c r="W51" i="2" s="1"/>
  <c r="Y51" i="2" s="1"/>
  <c r="E52" i="2"/>
  <c r="G52" i="2" s="1"/>
  <c r="I52" i="2" s="1"/>
  <c r="K52" i="2" s="1"/>
  <c r="M52" i="2" s="1"/>
  <c r="O52" i="2" s="1"/>
  <c r="Q52" i="2" s="1"/>
  <c r="S52" i="2" s="1"/>
  <c r="U52" i="2" s="1"/>
  <c r="W52" i="2" s="1"/>
  <c r="Y52" i="2" s="1"/>
  <c r="E53" i="2"/>
  <c r="G53" i="2" s="1"/>
  <c r="I53" i="2" s="1"/>
  <c r="K53" i="2" s="1"/>
  <c r="M53" i="2" s="1"/>
  <c r="O53" i="2" s="1"/>
  <c r="Q53" i="2" s="1"/>
  <c r="S53" i="2" s="1"/>
  <c r="U53" i="2" s="1"/>
  <c r="W53" i="2" s="1"/>
  <c r="Y53" i="2" s="1"/>
  <c r="E54" i="2"/>
  <c r="G54" i="2" s="1"/>
  <c r="I54" i="2" s="1"/>
  <c r="K54" i="2" s="1"/>
  <c r="M54" i="2" s="1"/>
  <c r="O54" i="2" s="1"/>
  <c r="Q54" i="2" s="1"/>
  <c r="S54" i="2" s="1"/>
  <c r="U54" i="2" s="1"/>
  <c r="W54" i="2" s="1"/>
  <c r="Y54" i="2" s="1"/>
  <c r="E56" i="2"/>
  <c r="G56" i="2" s="1"/>
  <c r="I56" i="2" s="1"/>
  <c r="K56" i="2" s="1"/>
  <c r="M56" i="2" s="1"/>
  <c r="O56" i="2" s="1"/>
  <c r="Q56" i="2" s="1"/>
  <c r="S56" i="2" s="1"/>
  <c r="U56" i="2" s="1"/>
  <c r="W56" i="2" s="1"/>
  <c r="Y56" i="2" s="1"/>
  <c r="E58" i="2"/>
  <c r="G58" i="2" s="1"/>
  <c r="E59" i="2"/>
  <c r="G59" i="2" s="1"/>
  <c r="I59" i="2" s="1"/>
  <c r="K59" i="2" s="1"/>
  <c r="M59" i="2" s="1"/>
  <c r="O59" i="2" s="1"/>
  <c r="Q59" i="2" s="1"/>
  <c r="S59" i="2" s="1"/>
  <c r="U59" i="2" s="1"/>
  <c r="W59" i="2" s="1"/>
  <c r="Y59" i="2" s="1"/>
  <c r="E61" i="2"/>
  <c r="G61" i="2" s="1"/>
  <c r="E62" i="2"/>
  <c r="G62" i="2" s="1"/>
  <c r="I62" i="2" s="1"/>
  <c r="K62" i="2" s="1"/>
  <c r="M62" i="2" s="1"/>
  <c r="O62" i="2" s="1"/>
  <c r="Q62" i="2" s="1"/>
  <c r="S62" i="2" s="1"/>
  <c r="U62" i="2" s="1"/>
  <c r="W62" i="2" s="1"/>
  <c r="Y62" i="2" s="1"/>
  <c r="E63" i="2"/>
  <c r="G63" i="2" s="1"/>
  <c r="I63" i="2" s="1"/>
  <c r="K63" i="2" s="1"/>
  <c r="M63" i="2" s="1"/>
  <c r="O63" i="2" s="1"/>
  <c r="Q63" i="2" s="1"/>
  <c r="S63" i="2" s="1"/>
  <c r="U63" i="2" s="1"/>
  <c r="W63" i="2" s="1"/>
  <c r="Y63" i="2" s="1"/>
  <c r="E64" i="2"/>
  <c r="G64" i="2" s="1"/>
  <c r="I64" i="2" s="1"/>
  <c r="K64" i="2" s="1"/>
  <c r="M64" i="2" s="1"/>
  <c r="O64" i="2" s="1"/>
  <c r="Q64" i="2" s="1"/>
  <c r="S64" i="2" s="1"/>
  <c r="U64" i="2" s="1"/>
  <c r="W64" i="2" s="1"/>
  <c r="Y64" i="2" s="1"/>
  <c r="E65" i="2"/>
  <c r="G65" i="2" s="1"/>
  <c r="I65" i="2" s="1"/>
  <c r="K65" i="2" s="1"/>
  <c r="M65" i="2" s="1"/>
  <c r="O65" i="2" s="1"/>
  <c r="Q65" i="2" s="1"/>
  <c r="S65" i="2" s="1"/>
  <c r="U65" i="2" s="1"/>
  <c r="W65" i="2" s="1"/>
  <c r="Y65" i="2" s="1"/>
  <c r="E66" i="2"/>
  <c r="G66" i="2" s="1"/>
  <c r="I66" i="2" s="1"/>
  <c r="K66" i="2" s="1"/>
  <c r="M66" i="2" s="1"/>
  <c r="O66" i="2" s="1"/>
  <c r="Q66" i="2" s="1"/>
  <c r="S66" i="2" s="1"/>
  <c r="U66" i="2" s="1"/>
  <c r="W66" i="2" s="1"/>
  <c r="Y66" i="2" s="1"/>
  <c r="E67" i="2"/>
  <c r="G67" i="2" s="1"/>
  <c r="I67" i="2" s="1"/>
  <c r="K67" i="2" s="1"/>
  <c r="M67" i="2" s="1"/>
  <c r="O67" i="2" s="1"/>
  <c r="Q67" i="2" s="1"/>
  <c r="S67" i="2" s="1"/>
  <c r="U67" i="2" s="1"/>
  <c r="W67" i="2" s="1"/>
  <c r="Y67" i="2" s="1"/>
  <c r="E69" i="2"/>
  <c r="G69" i="2" s="1"/>
  <c r="E70" i="2"/>
  <c r="G70" i="2" s="1"/>
  <c r="I70" i="2" s="1"/>
  <c r="K70" i="2" s="1"/>
  <c r="M70" i="2" s="1"/>
  <c r="O70" i="2" s="1"/>
  <c r="Q70" i="2" s="1"/>
  <c r="S70" i="2" s="1"/>
  <c r="U70" i="2" s="1"/>
  <c r="W70" i="2" s="1"/>
  <c r="Y70" i="2" s="1"/>
  <c r="E71" i="2"/>
  <c r="G71" i="2" s="1"/>
  <c r="I71" i="2" s="1"/>
  <c r="K71" i="2" s="1"/>
  <c r="M71" i="2" s="1"/>
  <c r="O71" i="2" s="1"/>
  <c r="Q71" i="2" s="1"/>
  <c r="S71" i="2" s="1"/>
  <c r="U71" i="2" s="1"/>
  <c r="W71" i="2" s="1"/>
  <c r="Y71" i="2" s="1"/>
  <c r="E72" i="2"/>
  <c r="G72" i="2" s="1"/>
  <c r="I72" i="2" s="1"/>
  <c r="K72" i="2" s="1"/>
  <c r="M72" i="2" s="1"/>
  <c r="O72" i="2" s="1"/>
  <c r="Q72" i="2" s="1"/>
  <c r="S72" i="2" s="1"/>
  <c r="U72" i="2" s="1"/>
  <c r="W72" i="2" s="1"/>
  <c r="Y72" i="2" s="1"/>
  <c r="E74" i="2"/>
  <c r="G74" i="2" s="1"/>
  <c r="I74" i="2" s="1"/>
  <c r="K74" i="2" s="1"/>
  <c r="M74" i="2" s="1"/>
  <c r="O74" i="2" s="1"/>
  <c r="Q74" i="2" s="1"/>
  <c r="S74" i="2" s="1"/>
  <c r="U74" i="2" s="1"/>
  <c r="W74" i="2" s="1"/>
  <c r="Y74" i="2" s="1"/>
  <c r="E76" i="2"/>
  <c r="G76" i="2" s="1"/>
  <c r="E77" i="2"/>
  <c r="G77" i="2" s="1"/>
  <c r="I77" i="2" s="1"/>
  <c r="K77" i="2" s="1"/>
  <c r="M77" i="2" s="1"/>
  <c r="E78" i="2"/>
  <c r="G78" i="2" s="1"/>
  <c r="I78" i="2" s="1"/>
  <c r="K78" i="2" s="1"/>
  <c r="M78" i="2" s="1"/>
  <c r="E79" i="2"/>
  <c r="G79" i="2" s="1"/>
  <c r="I79" i="2" s="1"/>
  <c r="K79" i="2" s="1"/>
  <c r="M79" i="2" s="1"/>
  <c r="E81" i="2"/>
  <c r="G81" i="2" s="1"/>
  <c r="E82" i="2"/>
  <c r="G82" i="2" s="1"/>
  <c r="I82" i="2" s="1"/>
  <c r="K82" i="2" s="1"/>
  <c r="M82" i="2" s="1"/>
  <c r="E83" i="2"/>
  <c r="G83" i="2" s="1"/>
  <c r="I83" i="2" s="1"/>
  <c r="K83" i="2" s="1"/>
  <c r="M83" i="2" s="1"/>
  <c r="E85" i="2"/>
  <c r="G85" i="2" s="1"/>
  <c r="E87" i="2"/>
  <c r="G87" i="2" s="1"/>
  <c r="E88" i="2"/>
  <c r="G88" i="2" s="1"/>
  <c r="I88" i="2" s="1"/>
  <c r="K88" i="2" s="1"/>
  <c r="M88" i="2" s="1"/>
  <c r="E89" i="2"/>
  <c r="G89" i="2" s="1"/>
  <c r="I89" i="2" s="1"/>
  <c r="K89" i="2" s="1"/>
  <c r="M89" i="2" s="1"/>
  <c r="D7" i="2"/>
  <c r="D21" i="2"/>
  <c r="D26" i="2"/>
  <c r="E8" i="2"/>
  <c r="G8" i="2" s="1"/>
  <c r="G48" i="2" l="1"/>
  <c r="Q9" i="2"/>
  <c r="O7" i="2"/>
  <c r="I61" i="2"/>
  <c r="G60" i="2"/>
  <c r="I45" i="2"/>
  <c r="G43" i="2"/>
  <c r="I22" i="2"/>
  <c r="G21" i="2"/>
  <c r="E37" i="2"/>
  <c r="E57" i="2"/>
  <c r="E75" i="2"/>
  <c r="E80" i="2"/>
  <c r="I85" i="2"/>
  <c r="G84" i="2"/>
  <c r="I69" i="2"/>
  <c r="G68" i="2"/>
  <c r="E18" i="2"/>
  <c r="I81" i="2"/>
  <c r="G80" i="2"/>
  <c r="E21" i="2"/>
  <c r="I76" i="2"/>
  <c r="G75" i="2"/>
  <c r="I58" i="2"/>
  <c r="G57" i="2"/>
  <c r="I19" i="2"/>
  <c r="G18" i="2"/>
  <c r="E7" i="2"/>
  <c r="I27" i="2"/>
  <c r="G26" i="2"/>
  <c r="E43" i="2"/>
  <c r="E60" i="2"/>
  <c r="E84" i="2"/>
  <c r="I49" i="2"/>
  <c r="I8" i="2"/>
  <c r="G7" i="2"/>
  <c r="I87" i="2"/>
  <c r="G86" i="2"/>
  <c r="I38" i="2"/>
  <c r="G37" i="2"/>
  <c r="E48" i="2"/>
  <c r="E68" i="2"/>
  <c r="E86" i="2"/>
  <c r="F90" i="2"/>
  <c r="F7" i="1"/>
  <c r="F43" i="1" s="1"/>
  <c r="E34" i="1"/>
  <c r="G34" i="1" s="1"/>
  <c r="I34" i="1" s="1"/>
  <c r="K34" i="1" s="1"/>
  <c r="M34" i="1" s="1"/>
  <c r="E35" i="1"/>
  <c r="G35" i="1" s="1"/>
  <c r="I35" i="1" s="1"/>
  <c r="K35" i="1" s="1"/>
  <c r="M35" i="1" s="1"/>
  <c r="E36" i="1"/>
  <c r="G36" i="1" s="1"/>
  <c r="E38" i="1"/>
  <c r="G38" i="1" s="1"/>
  <c r="I38" i="1" s="1"/>
  <c r="K38" i="1" s="1"/>
  <c r="M38" i="1" s="1"/>
  <c r="E33" i="1"/>
  <c r="G33" i="1" s="1"/>
  <c r="I33" i="1" s="1"/>
  <c r="K33" i="1" s="1"/>
  <c r="D32" i="1"/>
  <c r="D31" i="1" s="1"/>
  <c r="E24" i="1"/>
  <c r="G24" i="1" s="1"/>
  <c r="E25" i="1"/>
  <c r="G25" i="1" s="1"/>
  <c r="I25" i="1" s="1"/>
  <c r="K25" i="1" s="1"/>
  <c r="M25" i="1" s="1"/>
  <c r="E26" i="1"/>
  <c r="G26" i="1" s="1"/>
  <c r="I26" i="1" s="1"/>
  <c r="K26" i="1" s="1"/>
  <c r="M26" i="1" s="1"/>
  <c r="E27" i="1"/>
  <c r="G27" i="1" s="1"/>
  <c r="I27" i="1" s="1"/>
  <c r="K27" i="1" s="1"/>
  <c r="M27" i="1" s="1"/>
  <c r="E28" i="1"/>
  <c r="G28" i="1" s="1"/>
  <c r="I28" i="1" s="1"/>
  <c r="K28" i="1" s="1"/>
  <c r="M28" i="1" s="1"/>
  <c r="E29" i="1"/>
  <c r="G29" i="1" s="1"/>
  <c r="I29" i="1" s="1"/>
  <c r="K29" i="1" s="1"/>
  <c r="M29" i="1" s="1"/>
  <c r="E30" i="1"/>
  <c r="G30" i="1" s="1"/>
  <c r="I30" i="1" s="1"/>
  <c r="K30" i="1" s="1"/>
  <c r="M30" i="1" s="1"/>
  <c r="E22" i="1"/>
  <c r="G22" i="1" s="1"/>
  <c r="I22" i="1" s="1"/>
  <c r="K22" i="1" s="1"/>
  <c r="M22" i="1" s="1"/>
  <c r="E21" i="1"/>
  <c r="G21" i="1" s="1"/>
  <c r="I21" i="1" s="1"/>
  <c r="K21" i="1" s="1"/>
  <c r="M21" i="1" s="1"/>
  <c r="E20" i="1"/>
  <c r="G20" i="1" s="1"/>
  <c r="E19" i="1"/>
  <c r="E18" i="1"/>
  <c r="G18" i="1" s="1"/>
  <c r="I18" i="1" s="1"/>
  <c r="K18" i="1" s="1"/>
  <c r="M18" i="1" s="1"/>
  <c r="E17" i="1"/>
  <c r="G17" i="1" s="1"/>
  <c r="E15" i="1"/>
  <c r="G15" i="1" s="1"/>
  <c r="I15" i="1" s="1"/>
  <c r="K15" i="1" s="1"/>
  <c r="M15" i="1" s="1"/>
  <c r="E14" i="1"/>
  <c r="G14" i="1" s="1"/>
  <c r="E13" i="1"/>
  <c r="E12" i="1"/>
  <c r="G12" i="1" s="1"/>
  <c r="E10" i="1"/>
  <c r="G10" i="1" s="1"/>
  <c r="I10" i="1" s="1"/>
  <c r="K10" i="1" s="1"/>
  <c r="M10" i="1" s="1"/>
  <c r="E9" i="1"/>
  <c r="G9" i="1" s="1"/>
  <c r="E8" i="1"/>
  <c r="S9" i="2" l="1"/>
  <c r="U9" i="2" s="1"/>
  <c r="Q7" i="2"/>
  <c r="G90" i="2"/>
  <c r="K22" i="2"/>
  <c r="I21" i="2"/>
  <c r="M33" i="1"/>
  <c r="K32" i="1"/>
  <c r="K31" i="1" s="1"/>
  <c r="I9" i="1"/>
  <c r="G8" i="1"/>
  <c r="I12" i="1"/>
  <c r="G11" i="1"/>
  <c r="K8" i="2"/>
  <c r="I7" i="2"/>
  <c r="K19" i="2"/>
  <c r="I18" i="2"/>
  <c r="K85" i="2"/>
  <c r="I84" i="2"/>
  <c r="I14" i="1"/>
  <c r="G13" i="1"/>
  <c r="I20" i="1"/>
  <c r="G19" i="1"/>
  <c r="K81" i="2"/>
  <c r="I80" i="2"/>
  <c r="K38" i="2"/>
  <c r="I37" i="2"/>
  <c r="K58" i="2"/>
  <c r="I57" i="2"/>
  <c r="K45" i="2"/>
  <c r="I43" i="2"/>
  <c r="E16" i="1"/>
  <c r="E7" i="1" s="1"/>
  <c r="K27" i="2"/>
  <c r="I26" i="2"/>
  <c r="E11" i="1"/>
  <c r="I17" i="1"/>
  <c r="G16" i="1"/>
  <c r="K87" i="2"/>
  <c r="I86" i="2"/>
  <c r="K49" i="2"/>
  <c r="I48" i="2"/>
  <c r="K76" i="2"/>
  <c r="I75" i="2"/>
  <c r="K69" i="2"/>
  <c r="I68" i="2"/>
  <c r="K61" i="2"/>
  <c r="I60" i="2"/>
  <c r="G32" i="1"/>
  <c r="G31" i="1" s="1"/>
  <c r="I36" i="1"/>
  <c r="K36" i="1" s="1"/>
  <c r="M36" i="1" s="1"/>
  <c r="I24" i="1"/>
  <c r="K24" i="1" s="1"/>
  <c r="M24" i="1" s="1"/>
  <c r="G7" i="1"/>
  <c r="E32" i="1"/>
  <c r="E31" i="1" s="1"/>
  <c r="D80" i="2"/>
  <c r="AF7" i="2"/>
  <c r="C68" i="2"/>
  <c r="C37" i="2"/>
  <c r="C26" i="2"/>
  <c r="E26" i="2" s="1"/>
  <c r="E90" i="2" s="1"/>
  <c r="C7" i="2"/>
  <c r="C18" i="2"/>
  <c r="W9" i="2" l="1"/>
  <c r="U7" i="2"/>
  <c r="G43" i="1"/>
  <c r="S7" i="2"/>
  <c r="E43" i="1"/>
  <c r="M61" i="2"/>
  <c r="O61" i="2" s="1"/>
  <c r="K60" i="2"/>
  <c r="M19" i="2"/>
  <c r="O19" i="2" s="1"/>
  <c r="K18" i="2"/>
  <c r="M49" i="2"/>
  <c r="O49" i="2" s="1"/>
  <c r="K48" i="2"/>
  <c r="M58" i="2"/>
  <c r="O58" i="2" s="1"/>
  <c r="K57" i="2"/>
  <c r="K20" i="1"/>
  <c r="I19" i="1"/>
  <c r="K9" i="1"/>
  <c r="I8" i="1"/>
  <c r="I7" i="1" s="1"/>
  <c r="M27" i="2"/>
  <c r="O27" i="2" s="1"/>
  <c r="K26" i="2"/>
  <c r="I90" i="2"/>
  <c r="M69" i="2"/>
  <c r="O69" i="2" s="1"/>
  <c r="K68" i="2"/>
  <c r="M87" i="2"/>
  <c r="K86" i="2"/>
  <c r="M38" i="2"/>
  <c r="O38" i="2" s="1"/>
  <c r="K37" i="2"/>
  <c r="K14" i="1"/>
  <c r="I13" i="1"/>
  <c r="M8" i="2"/>
  <c r="K7" i="2"/>
  <c r="M32" i="1"/>
  <c r="M31" i="1" s="1"/>
  <c r="M76" i="2"/>
  <c r="K75" i="2"/>
  <c r="I16" i="1"/>
  <c r="K17" i="1"/>
  <c r="M45" i="2"/>
  <c r="O45" i="2" s="1"/>
  <c r="K43" i="2"/>
  <c r="M81" i="2"/>
  <c r="K80" i="2"/>
  <c r="M85" i="2"/>
  <c r="K84" i="2"/>
  <c r="K12" i="1"/>
  <c r="I11" i="1"/>
  <c r="M22" i="2"/>
  <c r="O22" i="2" s="1"/>
  <c r="K21" i="2"/>
  <c r="I32" i="1"/>
  <c r="I31" i="1" s="1"/>
  <c r="C16" i="1"/>
  <c r="Y9" i="2" l="1"/>
  <c r="W7" i="2"/>
  <c r="Q38" i="2"/>
  <c r="O37" i="2"/>
  <c r="Q45" i="2"/>
  <c r="O43" i="2"/>
  <c r="Q27" i="2"/>
  <c r="O26" i="2"/>
  <c r="Q58" i="2"/>
  <c r="O57" i="2"/>
  <c r="Q61" i="2"/>
  <c r="O60" i="2"/>
  <c r="Q49" i="2"/>
  <c r="O48" i="2"/>
  <c r="Q69" i="2"/>
  <c r="O68" i="2"/>
  <c r="Q22" i="2"/>
  <c r="O21" i="2"/>
  <c r="Q19" i="2"/>
  <c r="O18" i="2"/>
  <c r="M75" i="2"/>
  <c r="M21" i="2"/>
  <c r="M80" i="2"/>
  <c r="AE80" i="2"/>
  <c r="M14" i="1"/>
  <c r="K13" i="1"/>
  <c r="M68" i="2"/>
  <c r="M9" i="1"/>
  <c r="K8" i="1"/>
  <c r="K7" i="1" s="1"/>
  <c r="K43" i="1" s="1"/>
  <c r="M48" i="2"/>
  <c r="M12" i="1"/>
  <c r="K11" i="1"/>
  <c r="M43" i="2"/>
  <c r="M37" i="2"/>
  <c r="M20" i="1"/>
  <c r="K19" i="1"/>
  <c r="M18" i="2"/>
  <c r="M17" i="1"/>
  <c r="K16" i="1"/>
  <c r="K90" i="2"/>
  <c r="AE84" i="2"/>
  <c r="M84" i="2"/>
  <c r="M7" i="2"/>
  <c r="M86" i="2"/>
  <c r="M26" i="2"/>
  <c r="M57" i="2"/>
  <c r="M60" i="2"/>
  <c r="I43" i="1"/>
  <c r="O90" i="2" l="1"/>
  <c r="Y7" i="2"/>
  <c r="AE7" i="2"/>
  <c r="S19" i="2"/>
  <c r="U19" i="2" s="1"/>
  <c r="Q18" i="2"/>
  <c r="S49" i="2"/>
  <c r="U49" i="2" s="1"/>
  <c r="Q48" i="2"/>
  <c r="S27" i="2"/>
  <c r="U27" i="2" s="1"/>
  <c r="Q26" i="2"/>
  <c r="S22" i="2"/>
  <c r="U22" i="2" s="1"/>
  <c r="Q21" i="2"/>
  <c r="S61" i="2"/>
  <c r="U61" i="2" s="1"/>
  <c r="Q60" i="2"/>
  <c r="S45" i="2"/>
  <c r="U45" i="2" s="1"/>
  <c r="Q43" i="2"/>
  <c r="S69" i="2"/>
  <c r="U69" i="2" s="1"/>
  <c r="Q68" i="2"/>
  <c r="S58" i="2"/>
  <c r="U58" i="2" s="1"/>
  <c r="Q57" i="2"/>
  <c r="S38" i="2"/>
  <c r="U38" i="2" s="1"/>
  <c r="Q37" i="2"/>
  <c r="M8" i="1"/>
  <c r="M19" i="1"/>
  <c r="M11" i="1"/>
  <c r="M90" i="2"/>
  <c r="M16" i="1"/>
  <c r="M13" i="1"/>
  <c r="W69" i="2" l="1"/>
  <c r="U68" i="2"/>
  <c r="W22" i="2"/>
  <c r="U21" i="2"/>
  <c r="W19" i="2"/>
  <c r="U18" i="2"/>
  <c r="W38" i="2"/>
  <c r="U37" i="2"/>
  <c r="W45" i="2"/>
  <c r="U43" i="2"/>
  <c r="W27" i="2"/>
  <c r="U26" i="2"/>
  <c r="W58" i="2"/>
  <c r="U57" i="2"/>
  <c r="W61" i="2"/>
  <c r="U60" i="2"/>
  <c r="W49" i="2"/>
  <c r="U48" i="2"/>
  <c r="S37" i="2"/>
  <c r="S43" i="2"/>
  <c r="S26" i="2"/>
  <c r="S57" i="2"/>
  <c r="S60" i="2"/>
  <c r="S48" i="2"/>
  <c r="Q90" i="2"/>
  <c r="S68" i="2"/>
  <c r="S21" i="2"/>
  <c r="S18" i="2"/>
  <c r="M7" i="1"/>
  <c r="M43" i="1" s="1"/>
  <c r="Y49" i="2" l="1"/>
  <c r="W48" i="2"/>
  <c r="U90" i="2"/>
  <c r="Y27" i="2"/>
  <c r="W26" i="2"/>
  <c r="Y19" i="2"/>
  <c r="W18" i="2"/>
  <c r="Y61" i="2"/>
  <c r="W60" i="2"/>
  <c r="Y45" i="2"/>
  <c r="W43" i="2"/>
  <c r="Y22" i="2"/>
  <c r="W21" i="2"/>
  <c r="Y58" i="2"/>
  <c r="W57" i="2"/>
  <c r="Y38" i="2"/>
  <c r="W37" i="2"/>
  <c r="Y69" i="2"/>
  <c r="W68" i="2"/>
  <c r="S90" i="2"/>
  <c r="Y68" i="2" l="1"/>
  <c r="AE21" i="2"/>
  <c r="Y21" i="2"/>
  <c r="AE18" i="2"/>
  <c r="Y18" i="2"/>
  <c r="Y37" i="2"/>
  <c r="Y43" i="2"/>
  <c r="AE43" i="2"/>
  <c r="Y26" i="2"/>
  <c r="Y57" i="2"/>
  <c r="AE57" i="2"/>
  <c r="Y60" i="2"/>
  <c r="W90" i="2"/>
  <c r="AE48" i="2"/>
  <c r="Y48" i="2"/>
  <c r="AF80" i="2"/>
  <c r="AF86" i="2"/>
  <c r="Y90" i="2" l="1"/>
  <c r="D43" i="2" l="1"/>
  <c r="D68" i="2" l="1"/>
  <c r="AF57" i="2"/>
  <c r="D75" i="2"/>
  <c r="D57" i="2"/>
  <c r="D37" i="2"/>
  <c r="D8" i="1"/>
  <c r="D7" i="1" s="1"/>
  <c r="D86" i="2" l="1"/>
  <c r="D48" i="2"/>
  <c r="C86" i="2" l="1"/>
  <c r="C84" i="2"/>
  <c r="C80" i="2"/>
  <c r="C75" i="2"/>
  <c r="D60" i="2"/>
  <c r="C60" i="2"/>
  <c r="C57" i="2"/>
  <c r="C43" i="2"/>
  <c r="C21" i="2"/>
  <c r="AF43" i="1"/>
  <c r="D43" i="1"/>
  <c r="C32" i="1"/>
  <c r="C31" i="1" s="1"/>
  <c r="C19" i="1"/>
  <c r="C13" i="1"/>
  <c r="C11" i="1"/>
  <c r="C8" i="1"/>
  <c r="C90" i="2" l="1"/>
  <c r="C7" i="1"/>
  <c r="C43" i="1" s="1"/>
  <c r="D90" i="2"/>
  <c r="AE43" i="1" l="1"/>
  <c r="R86" i="2"/>
  <c r="R90" i="2"/>
  <c r="AE86" i="2"/>
  <c r="AE90" i="2" s="1"/>
</calcChain>
</file>

<file path=xl/sharedStrings.xml><?xml version="1.0" encoding="utf-8"?>
<sst xmlns="http://schemas.openxmlformats.org/spreadsheetml/2006/main" count="338" uniqueCount="267">
  <si>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</si>
  <si>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</si>
  <si>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</si>
  <si>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</si>
  <si>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</si>
  <si>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</si>
  <si>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</si>
  <si>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</si>
  <si>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</si>
  <si>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</si>
  <si>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</si>
  <si>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</si>
  <si>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</si>
  <si>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</si>
  <si>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</si>
  <si>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</si>
  <si>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</si>
  <si>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</si>
  <si>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</si>
  <si>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</si>
  <si>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</si>
  <si>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</si>
  <si>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</si>
  <si>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</si>
  <si>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</si>
  <si>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</si>
  <si>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</si>
  <si>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</si>
  <si>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</si>
  <si>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</si>
  <si>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</si>
  <si>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</si>
  <si>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</si>
  <si>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</si>
  <si>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</si>
  <si>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</si>
  <si>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</si>
  <si>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</si>
  <si>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</si>
  <si>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</si>
  <si>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</si>
  <si>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</si>
  <si>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</si>
  <si>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</si>
  <si>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</si>
  <si>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</si>
  <si>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</si>
  <si>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</si>
  <si>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</si>
  <si>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</si>
  <si>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</si>
  <si>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</si>
  <si>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</si>
  <si>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</si>
  <si>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</si>
  <si>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</si>
  <si>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</si>
  <si>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</si>
  <si>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</si>
  <si>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</si>
  <si>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</si>
  <si>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</si>
  <si>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</si>
  <si>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</si>
  <si>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</si>
  <si>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</si>
  <si>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</si>
  <si>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</si>
  <si>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</si>
  <si>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</si>
  <si>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</si>
  <si>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</si>
  <si>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</si>
  <si>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</si>
  <si>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</si>
  <si>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</si>
  <si>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</si>
  <si>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</si>
  <si>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</si>
  <si>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</si>
  <si>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</si>
  <si>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</si>
  <si>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</si>
  <si>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</si>
  <si>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</si>
  <si>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</si>
  <si>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</si>
  <si>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</si>
  <si>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</si>
  <si>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</si>
  <si>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</si>
  <si>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</si>
  <si>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</si>
  <si>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</si>
  <si>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</si>
  <si>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</si>
  <si>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</si>
  <si>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</si>
  <si>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</si>
  <si>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</si>
  <si>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</si>
  <si>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</si>
  <si>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</si>
  <si>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</si>
  <si>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</si>
  <si>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</si>
  <si>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</si>
  <si>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</si>
  <si>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</si>
  <si>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</si>
  <si>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</si>
  <si>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</si>
  <si>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</si>
  <si>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</si>
  <si>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</si>
  <si>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</si>
  <si>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</si>
  <si>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</si>
  <si>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</si>
  <si>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</si>
  <si>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</si>
  <si>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</si>
  <si>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</si>
  <si>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</si>
  <si>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</si>
  <si>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</si>
  <si>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</si>
  <si>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</si>
  <si>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</si>
  <si>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</si>
  <si>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</si>
  <si>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</si>
  <si>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</si>
  <si>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</si>
  <si>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</si>
  <si>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</si>
  <si>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</si>
  <si>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</si>
  <si>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</si>
  <si>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</si>
  <si>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</si>
  <si>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</si>
  <si>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</si>
  <si>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</si>
  <si>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</si>
  <si>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</si>
  <si>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</si>
  <si>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</si>
  <si>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</si>
  <si>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</si>
  <si>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</si>
  <si>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</si>
  <si>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</si>
  <si>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</si>
  <si>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</si>
  <si>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</si>
  <si>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</si>
  <si>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</si>
  <si>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</si>
  <si>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</si>
  <si>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</si>
  <si>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</si>
  <si>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</si>
  <si>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</si>
  <si>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</si>
  <si>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</si>
  <si>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</si>
  <si>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</si>
  <si>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</si>
  <si>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</si>
  <si>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</si>
  <si>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</si>
  <si>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</si>
  <si>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</si>
  <si>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</si>
  <si>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</si>
  <si>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</si>
  <si>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</si>
  <si>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</si>
  <si>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</si>
  <si>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</si>
  <si>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</si>
  <si>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</si>
  <si>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</si>
  <si>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</si>
  <si>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</si>
  <si>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</si>
  <si>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</si>
  <si>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</si>
  <si>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</si>
  <si>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</si>
  <si>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</si>
  <si>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</si>
  <si>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</si>
  <si>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</si>
  <si>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</si>
  <si>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</si>
  <si>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</si>
  <si>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</si>
  <si>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</si>
  <si>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</si>
  <si>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</si>
  <si>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</si>
  <si>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</si>
  <si>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</si>
  <si>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</si>
  <si>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</si>
  <si>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</si>
  <si>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</si>
  <si>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</si>
  <si>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</si>
  <si>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</si>
  <si>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</si>
  <si>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</si>
  <si>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</si>
  <si>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</si>
  <si>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</si>
  <si>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</si>
  <si>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</si>
  <si>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</si>
  <si>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</si>
  <si>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</si>
  <si>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</si>
  <si>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</si>
  <si>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</si>
  <si>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</si>
  <si>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</si>
  <si>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</si>
  <si>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</si>
  <si>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</si>
  <si>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</si>
  <si>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</si>
  <si>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</si>
  <si>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</si>
  <si>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2024 год
</t>
  </si>
  <si>
    <t>2 03 00000 00 0000 000</t>
  </si>
  <si>
    <t>Закон Саратовской области «Об областном бюджете на 2024 год и на плановый период 2025 и 2026 годов»                                  (с учетом внесенных изменений)</t>
  </si>
  <si>
    <t>Закон Саратовской области о внесении изменений в закон «Об областном бюджете на 2024 год и на плановый период 2025 и 2026 годов»</t>
  </si>
  <si>
    <t>161-ЗСО от 27.12.2023</t>
  </si>
  <si>
    <t xml:space="preserve"> Закон Саратовской области от 01.12.2023 года № 146-ЗСО «Об областном бюджете на 2024 год и на плановый период 2025 и 2026 годов» (первоначальная редакция) </t>
  </si>
  <si>
    <t>ДОХОДЫ ОТ ОКАЗАНИЯ ПЛАТНЫХ УСЛУГ И КОМПЕНСАЦИИ ЗАТРАТ ГОСУДАРСТВА</t>
  </si>
  <si>
    <t>Закон Саратовской области «Об областном бюджете на 2024 год и на плановый период 2025 и 2026 годов»                       (с учетом внесенных изменений)</t>
  </si>
  <si>
    <t>Сведения о внесенных изменениях в закон о бюджете в части расходов за 2024 год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</si>
  <si>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</si>
  <si>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</si>
  <si>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</si>
  <si>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</si>
  <si>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>12-ЗСО от 08.02.2024</t>
  </si>
  <si>
    <t>утвержденные значения</t>
  </si>
  <si>
    <t>15-ЗСО от 22.02.2024</t>
  </si>
  <si>
    <t>22-ЗСО от 11.03.2024</t>
  </si>
  <si>
    <t>2 07 00000 00 0000 150</t>
  </si>
  <si>
    <t>ПРОЧИЕ БЕЗВОЗМЕЗДНЫЕ ПОСТУПЛЕНИЯ</t>
  </si>
  <si>
    <t>38-ЗСО от 11.04.2024</t>
  </si>
  <si>
    <t>51-ЗСО от 16.05.2024</t>
  </si>
  <si>
    <t>65-ЗСО от 05.06.2024</t>
  </si>
  <si>
    <t>68-ЗСО от 27.06.2024</t>
  </si>
  <si>
    <t>82-ЗСО от 26.07.2024</t>
  </si>
  <si>
    <t>0708</t>
  </si>
  <si>
    <t>Прикладные научные исследования в области образования</t>
  </si>
  <si>
    <t>100-ЗСО от 29.08.2024</t>
  </si>
  <si>
    <t>115-ЗСО от 26.09.2024</t>
  </si>
  <si>
    <t>140-ЗСО от 07.11.2024</t>
  </si>
  <si>
    <t>1005</t>
  </si>
  <si>
    <t>143-ЗСО от 28.11.2024</t>
  </si>
  <si>
    <t>165-ЗСО от 25.12.2024</t>
  </si>
  <si>
    <t>Прикладные научные исследования в области социальной политики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</si>
</sst>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21">
      <alignment horizontal="right"/>
    </xf>
    <xf numFmtId="0" fontId="4" fillId="0" borderId="12" applyNumberFormat="0">
      <alignment horizontal="right" vertical="top"/>
    </xf>
    <xf numFmtId="0" fontId="1" fillId="0" borderId="0"/>
  </cellStyleXfs>
  <cellXfs count="90">
    <xf numFmtId="0" fontId="0" fillId="0" borderId="0" xfId="0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0" fillId="0" borderId="0" xfId="0" applyNumberFormat="1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164" fontId="11" fillId="5" borderId="18" xfId="0" applyNumberFormat="1" applyFont="1" applyFill="1" applyBorder="1" applyAlignment="1">
      <alignment horizontal="center" vertical="center" wrapText="1" shrinkToFit="1"/>
    </xf>
    <xf numFmtId="49" fontId="7" fillId="3" borderId="9" xfId="0" applyNumberFormat="1" applyFont="1" applyFill="1" applyBorder="1" applyAlignment="1">
      <alignment horizontal="center" vertical="center" wrapText="1" shrinkToFit="1"/>
    </xf>
    <xf numFmtId="49" fontId="6" fillId="2" borderId="11" xfId="0" applyNumberFormat="1" applyFont="1" applyFill="1" applyBorder="1" applyAlignment="1">
      <alignment horizontal="center" vertical="center" shrinkToFit="1"/>
    </xf>
    <xf numFmtId="49" fontId="7" fillId="3" borderId="11" xfId="0" applyNumberFormat="1" applyFont="1" applyFill="1" applyBorder="1" applyAlignment="1">
      <alignment horizontal="center" vertical="center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7" fillId="3" borderId="28" xfId="0" applyNumberFormat="1" applyFont="1" applyFill="1" applyBorder="1" applyAlignment="1">
      <alignment horizontal="center" vertical="center" wrapText="1" shrinkToFit="1"/>
    </xf>
    <xf numFmtId="164" fontId="7" fillId="3" borderId="13" xfId="0" applyNumberFormat="1" applyFont="1" applyFill="1" applyBorder="1" applyAlignment="1">
      <alignment horizontal="center" vertical="center" wrapText="1" shrinkToFit="1"/>
    </xf>
    <xf numFmtId="164" fontId="7" fillId="3" borderId="29" xfId="0" applyNumberFormat="1" applyFont="1" applyFill="1" applyBorder="1" applyAlignment="1">
      <alignment horizontal="center" vertical="center" wrapText="1" shrinkToFit="1"/>
    </xf>
    <xf numFmtId="0" fontId="7" fillId="3" borderId="10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2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E46" sqref="AE46"/>
    </sheetView>
  </sheetViews>
  <sheetFormatPr defaultRowHeight="12.75" x14ac:dyDescent="0.2"/>
  <cols>
    <col min="1" max="1" width="23.83203125" style="1" customWidth="1"/>
    <col min="2" max="2" width="52.6640625" style="31" customWidth="1"/>
    <col min="3" max="3" width="29.5" style="31" customWidth="1"/>
    <col min="4" max="4" width="13.6640625" style="1" customWidth="1"/>
    <col min="5" max="5" width="16" style="1" customWidth="1"/>
    <col min="6" max="6" width="12.83203125" style="1" customWidth="1"/>
    <col min="7" max="7" width="16.1640625" style="1" customWidth="1"/>
    <col min="8" max="8" width="13.33203125" style="1" customWidth="1"/>
    <col min="9" max="9" width="16.1640625" style="1" customWidth="1"/>
    <col min="10" max="10" width="12.6640625" style="1" customWidth="1"/>
    <col min="11" max="11" width="16.33203125" style="1" customWidth="1"/>
    <col min="12" max="12" width="13.33203125" style="1" customWidth="1"/>
    <col min="13" max="13" width="15.6640625" style="1" customWidth="1"/>
    <col min="14" max="14" width="13.33203125" style="1" customWidth="1"/>
    <col min="15" max="15" width="15.33203125" style="1" customWidth="1"/>
    <col min="16" max="16" width="12.6640625" style="1" customWidth="1"/>
    <col min="17" max="17" width="16.33203125" style="1" customWidth="1"/>
    <col min="18" max="18" width="12.6640625" style="1" customWidth="1"/>
    <col min="19" max="19" width="16.33203125" style="1" customWidth="1"/>
    <col min="20" max="20" width="12.33203125" style="1" customWidth="1"/>
    <col min="21" max="21" width="16.1640625" style="1" customWidth="1"/>
    <col min="22" max="22" width="13.33203125" style="1" customWidth="1"/>
    <col min="23" max="23" width="15.33203125" style="1" customWidth="1"/>
    <col min="24" max="24" width="14" style="1" customWidth="1"/>
    <col min="25" max="25" width="15.33203125" style="1" customWidth="1"/>
    <col min="26" max="26" width="14.1640625" style="1" customWidth="1"/>
    <col min="27" max="27" width="16" style="1" customWidth="1"/>
    <col min="28" max="28" width="14.1640625" style="1" customWidth="1"/>
    <col min="29" max="29" width="15.5" style="1" customWidth="1"/>
    <col min="30" max="30" width="14.1640625" style="1" customWidth="1"/>
    <col min="31" max="31" width="23.5" style="1" customWidth="1"/>
    <col min="32" max="32" width="14" style="1" customWidth="1"/>
    <col min="33" max="33" width="18" style="1" customWidth="1"/>
    <col min="34" max="34" width="16.5" style="1" customWidth="1"/>
    <col min="35" max="35" width="19.5" style="1" customWidth="1"/>
    <col min="36" max="36" width="15.83203125" style="1" bestFit="1" customWidth="1"/>
    <col min="37" max="37" width="16" style="1" bestFit="1" customWidth="1"/>
    <col min="38" max="16384" width="9.33203125" style="1"/>
  </cols>
  <sheetData>
    <row r="1" spans="1:35" ht="24.75" customHeight="1" x14ac:dyDescent="0.2">
      <c r="A1" s="67" t="s">
        <v>234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</row>
    <row r="2" spans="1:35" ht="14.25" customHeight="1" thickBot="1" x14ac:dyDescent="0.25">
      <c r="B2" s="2"/>
      <c r="C2" s="2"/>
      <c r="AF2" s="3" t="s">
        <v>0</v>
      </c>
    </row>
    <row r="3" spans="1:35" ht="53.25" customHeight="1" thickBot="1" x14ac:dyDescent="0.25">
      <c r="A3" s="68" t="s">
        <v>1</v>
      </c>
      <c r="B3" s="68" t="s">
        <v>2</v>
      </c>
      <c r="C3" s="71" t="s">
        <v>239</v>
      </c>
      <c r="D3" s="78" t="s">
        <v>237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80"/>
      <c r="AE3" s="73" t="s">
        <v>236</v>
      </c>
      <c r="AF3" s="68" t="s">
        <v>3</v>
      </c>
    </row>
    <row r="4" spans="1:35" ht="28.5" customHeight="1" thickBot="1" x14ac:dyDescent="0.25">
      <c r="A4" s="69"/>
      <c r="B4" s="69"/>
      <c r="C4" s="69"/>
      <c r="D4" s="76" t="s">
        <v>238</v>
      </c>
      <c r="E4" s="77"/>
      <c r="F4" s="76" t="s">
        <v>247</v>
      </c>
      <c r="G4" s="77"/>
      <c r="H4" s="76" t="s">
        <v>249</v>
      </c>
      <c r="I4" s="77"/>
      <c r="J4" s="76" t="s">
        <v>250</v>
      </c>
      <c r="K4" s="77"/>
      <c r="L4" s="76" t="s">
        <v>253</v>
      </c>
      <c r="M4" s="77"/>
      <c r="N4" s="76" t="s">
        <v>254</v>
      </c>
      <c r="O4" s="77"/>
      <c r="P4" s="76" t="s">
        <v>255</v>
      </c>
      <c r="Q4" s="77"/>
      <c r="R4" s="76" t="s">
        <v>256</v>
      </c>
      <c r="S4" s="77"/>
      <c r="T4" s="76" t="s">
        <v>257</v>
      </c>
      <c r="U4" s="77"/>
      <c r="V4" s="76" t="s">
        <v>260</v>
      </c>
      <c r="W4" s="77"/>
      <c r="X4" s="76" t="s">
        <v>261</v>
      </c>
      <c r="Y4" s="77"/>
      <c r="Z4" s="76" t="s">
        <v>262</v>
      </c>
      <c r="AA4" s="77"/>
      <c r="AB4" s="81" t="s">
        <v>264</v>
      </c>
      <c r="AC4" s="82"/>
      <c r="AD4" s="62" t="s">
        <v>265</v>
      </c>
      <c r="AE4" s="74"/>
      <c r="AF4" s="69"/>
    </row>
    <row r="5" spans="1:35" ht="27.75" customHeight="1" thickBot="1" x14ac:dyDescent="0.25">
      <c r="A5" s="70"/>
      <c r="B5" s="70"/>
      <c r="C5" s="72"/>
      <c r="D5" s="4" t="s">
        <v>4</v>
      </c>
      <c r="E5" s="4" t="s">
        <v>248</v>
      </c>
      <c r="F5" s="4" t="s">
        <v>4</v>
      </c>
      <c r="G5" s="4" t="s">
        <v>248</v>
      </c>
      <c r="H5" s="4" t="s">
        <v>4</v>
      </c>
      <c r="I5" s="4" t="s">
        <v>248</v>
      </c>
      <c r="J5" s="4" t="s">
        <v>4</v>
      </c>
      <c r="K5" s="4" t="s">
        <v>248</v>
      </c>
      <c r="L5" s="4" t="s">
        <v>4</v>
      </c>
      <c r="M5" s="4" t="s">
        <v>248</v>
      </c>
      <c r="N5" s="4" t="s">
        <v>4</v>
      </c>
      <c r="O5" s="4" t="s">
        <v>248</v>
      </c>
      <c r="P5" s="4" t="s">
        <v>4</v>
      </c>
      <c r="Q5" s="4" t="s">
        <v>248</v>
      </c>
      <c r="R5" s="4" t="s">
        <v>4</v>
      </c>
      <c r="S5" s="4" t="s">
        <v>248</v>
      </c>
      <c r="T5" s="4" t="s">
        <v>4</v>
      </c>
      <c r="U5" s="4" t="s">
        <v>248</v>
      </c>
      <c r="V5" s="4" t="s">
        <v>4</v>
      </c>
      <c r="W5" s="4" t="s">
        <v>248</v>
      </c>
      <c r="X5" s="4" t="s">
        <v>4</v>
      </c>
      <c r="Y5" s="4" t="s">
        <v>248</v>
      </c>
      <c r="Z5" s="4" t="s">
        <v>4</v>
      </c>
      <c r="AA5" s="4" t="s">
        <v>248</v>
      </c>
      <c r="AB5" s="4" t="s">
        <v>4</v>
      </c>
      <c r="AC5" s="4" t="s">
        <v>248</v>
      </c>
      <c r="AD5" s="4" t="s">
        <v>4</v>
      </c>
      <c r="AE5" s="75"/>
      <c r="AF5" s="72"/>
    </row>
    <row r="6" spans="1:35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</row>
    <row r="7" spans="1:35" s="10" customFormat="1" ht="18" customHeight="1" x14ac:dyDescent="0.2">
      <c r="A7" s="6" t="s">
        <v>5</v>
      </c>
      <c r="B7" s="60" t="s">
        <v>6</v>
      </c>
      <c r="C7" s="8">
        <f>SUM(C8,C11,C13,C16,C19,C22,C23,C24,C25,C26,C27,C28,C29,C30)</f>
        <v>108790487.10000001</v>
      </c>
      <c r="D7" s="8">
        <f>SUM(D8,D11,D13,D16,D19,D22,D23,D24,D25,D26,D27,D28,D29,D30)</f>
        <v>1453554.6000000015</v>
      </c>
      <c r="E7" s="8">
        <f t="shared" ref="E7:L7" si="0">SUM(E8,E11,E13,E16,E19,E22,E23,E24,E25,E26,E27,E28,E29,E30)</f>
        <v>110244041.7</v>
      </c>
      <c r="F7" s="8">
        <f t="shared" si="0"/>
        <v>123253</v>
      </c>
      <c r="G7" s="8">
        <f t="shared" si="0"/>
        <v>110367294.7</v>
      </c>
      <c r="H7" s="8">
        <f t="shared" si="0"/>
        <v>2099999.9999999972</v>
      </c>
      <c r="I7" s="8">
        <f t="shared" si="0"/>
        <v>112467294.69999999</v>
      </c>
      <c r="J7" s="8">
        <f t="shared" si="0"/>
        <v>701008.7</v>
      </c>
      <c r="K7" s="8">
        <f>SUM(K8,K11,K13,K16,K19,K22,K23,K24,K25,K26,K27,K28,K29,K30)+0.1</f>
        <v>113168303.49999999</v>
      </c>
      <c r="L7" s="8">
        <f t="shared" si="0"/>
        <v>900000</v>
      </c>
      <c r="M7" s="8">
        <f>SUM(M8,M11,M13,M16,M19,M22,M23,M24,M25,M26,M27,M28,M29,M30)+0.1</f>
        <v>114068303.49999999</v>
      </c>
      <c r="N7" s="8"/>
      <c r="O7" s="8">
        <f t="shared" ref="O7:S7" si="1">SUM(O8,O11,O13,O16,O19,O22,O23,O24,O25,O26,O27,O28,O29,O30)+0.1</f>
        <v>114068303.49999999</v>
      </c>
      <c r="P7" s="8">
        <f>SUM(P8,P11,P13,P16,P19,P22,P23,P24,P25,P26,P27,P28,P29,P30)</f>
        <v>255200.3</v>
      </c>
      <c r="Q7" s="8">
        <f t="shared" si="1"/>
        <v>114323503.79999998</v>
      </c>
      <c r="R7" s="8"/>
      <c r="S7" s="8">
        <f t="shared" si="1"/>
        <v>114323503.79999998</v>
      </c>
      <c r="T7" s="8">
        <f>SUM(T8,T11,T13,T16,T19,T22,T23,T24,T25,T26,T27,T28,T29,T30)</f>
        <v>312741.89999999991</v>
      </c>
      <c r="U7" s="8">
        <f t="shared" ref="U7:AA7" si="2">SUM(U8,U11,U13,U16,U19,U22,U23,U24,U25,U26,U27,U28,U29,U30)</f>
        <v>114636245.59999999</v>
      </c>
      <c r="V7" s="8">
        <f t="shared" si="2"/>
        <v>475.29999999993015</v>
      </c>
      <c r="W7" s="8">
        <f t="shared" si="2"/>
        <v>114636720.89999999</v>
      </c>
      <c r="X7" s="8">
        <f t="shared" si="2"/>
        <v>8686111.299999997</v>
      </c>
      <c r="Y7" s="8">
        <f t="shared" si="2"/>
        <v>123322832.2</v>
      </c>
      <c r="Z7" s="8">
        <f t="shared" si="2"/>
        <v>1197635.3999999985</v>
      </c>
      <c r="AA7" s="8">
        <f t="shared" si="2"/>
        <v>124520467.60000001</v>
      </c>
      <c r="AB7" s="8">
        <f>SUM(AB8,AB11,AB13,AB16,AB19,AB22,AB23,AB24,AB25,AB26,AB27,AB28,AB29,AB30)+0.2</f>
        <v>6239674.2000000002</v>
      </c>
      <c r="AC7" s="8">
        <f t="shared" ref="AC7" si="3">SUM(AC8,AC11,AC13,AC16,AC19,AC22,AC23,AC24,AC25,AC26,AC27,AC28,AC29,AC30)+0.2</f>
        <v>130760141.79999998</v>
      </c>
      <c r="AD7" s="8">
        <f>SUM(AD8,AD11,AD13,AD16,AD19,AD22,AD23,AD24,AD25,AD26,AD27,AD28,AD29,AD30)</f>
        <v>176676.19999999949</v>
      </c>
      <c r="AE7" s="8">
        <f>SUM(AE8,AE11,AE13,AE16,AE19,AE22,AE23,AE24,AE25,AE26,AE27,AE28,AE29,AE30)-0.1</f>
        <v>130936817.69999999</v>
      </c>
      <c r="AF7" s="57">
        <f>SUM(AF8,AF11,AF13,AF16,AF19,AF22,AF23,AF24,AF25,AF26,AF27,AF28,AF29,AF30)-0.1</f>
        <v>22146330.600000001</v>
      </c>
      <c r="AG7" s="9"/>
    </row>
    <row r="8" spans="1:35" s="10" customFormat="1" ht="15.75" customHeight="1" x14ac:dyDescent="0.2">
      <c r="A8" s="11" t="s">
        <v>7</v>
      </c>
      <c r="B8" s="12" t="s">
        <v>8</v>
      </c>
      <c r="C8" s="13">
        <f>C9+C10</f>
        <v>71492781.700000003</v>
      </c>
      <c r="D8" s="14">
        <f>D9+D10</f>
        <v>1139962.6000000015</v>
      </c>
      <c r="E8" s="54">
        <f>E9+E10</f>
        <v>72632744.300000012</v>
      </c>
      <c r="F8" s="14"/>
      <c r="G8" s="54">
        <f>G9+G10</f>
        <v>72632744.300000012</v>
      </c>
      <c r="H8" s="14">
        <f>H9+H10</f>
        <v>2071064.799999997</v>
      </c>
      <c r="I8" s="54">
        <f>I9+I10</f>
        <v>74703809.099999994</v>
      </c>
      <c r="J8" s="14"/>
      <c r="K8" s="54">
        <f>K9+K10</f>
        <v>74703809.099999994</v>
      </c>
      <c r="L8" s="14">
        <f>L9+L10</f>
        <v>900000</v>
      </c>
      <c r="M8" s="54">
        <f>M9+M10</f>
        <v>75603809.099999994</v>
      </c>
      <c r="N8" s="14"/>
      <c r="O8" s="54">
        <f>O9+O10</f>
        <v>75603809.099999994</v>
      </c>
      <c r="P8" s="14"/>
      <c r="Q8" s="54">
        <f>Q9+Q10</f>
        <v>75603809.099999994</v>
      </c>
      <c r="R8" s="14"/>
      <c r="S8" s="54">
        <f>S9+S10</f>
        <v>75603809.099999994</v>
      </c>
      <c r="T8" s="14"/>
      <c r="U8" s="54">
        <f>U9+U10</f>
        <v>75603809.099999994</v>
      </c>
      <c r="V8" s="14"/>
      <c r="W8" s="54">
        <f>W9+W10</f>
        <v>75603809.099999994</v>
      </c>
      <c r="X8" s="14">
        <f>X9+X10</f>
        <v>7510477.8999999985</v>
      </c>
      <c r="Y8" s="54">
        <f>Y9+Y10</f>
        <v>83114287</v>
      </c>
      <c r="Z8" s="14"/>
      <c r="AA8" s="54">
        <f>AA9+AA10</f>
        <v>83114287</v>
      </c>
      <c r="AB8" s="14">
        <f>AB9+AB10</f>
        <v>3218834</v>
      </c>
      <c r="AC8" s="54">
        <f>AC9+AC10</f>
        <v>86333121</v>
      </c>
      <c r="AD8" s="14"/>
      <c r="AE8" s="13">
        <f>AE9+AE10</f>
        <v>86333121</v>
      </c>
      <c r="AF8" s="15">
        <f>AF9+AF10</f>
        <v>14840339.299999997</v>
      </c>
      <c r="AG8" s="9"/>
    </row>
    <row r="9" spans="1:35" s="10" customFormat="1" ht="19.5" customHeight="1" x14ac:dyDescent="0.2">
      <c r="A9" s="11" t="s">
        <v>9</v>
      </c>
      <c r="B9" s="16" t="s">
        <v>10</v>
      </c>
      <c r="C9" s="17">
        <v>33387141.600000001</v>
      </c>
      <c r="D9" s="18">
        <v>1139962.6000000015</v>
      </c>
      <c r="E9" s="55">
        <f>C9+D9</f>
        <v>34527104.200000003</v>
      </c>
      <c r="F9" s="18"/>
      <c r="G9" s="55">
        <f>E9+F9</f>
        <v>34527104.200000003</v>
      </c>
      <c r="H9" s="18">
        <v>2071064.799999997</v>
      </c>
      <c r="I9" s="55">
        <f>G9+H9</f>
        <v>36598169</v>
      </c>
      <c r="J9" s="18"/>
      <c r="K9" s="55">
        <f>I9+J9</f>
        <v>36598169</v>
      </c>
      <c r="L9" s="18">
        <v>900000</v>
      </c>
      <c r="M9" s="55">
        <f>K9+L9</f>
        <v>37498169</v>
      </c>
      <c r="N9" s="18"/>
      <c r="O9" s="55">
        <f>M9+N9</f>
        <v>37498169</v>
      </c>
      <c r="P9" s="18"/>
      <c r="Q9" s="55">
        <f>O9+P9</f>
        <v>37498169</v>
      </c>
      <c r="R9" s="18"/>
      <c r="S9" s="55">
        <f>Q9+R9</f>
        <v>37498169</v>
      </c>
      <c r="T9" s="18"/>
      <c r="U9" s="55">
        <f>S9+T9</f>
        <v>37498169</v>
      </c>
      <c r="V9" s="18"/>
      <c r="W9" s="55">
        <f>U9+V9</f>
        <v>37498169</v>
      </c>
      <c r="X9" s="18">
        <v>3091118</v>
      </c>
      <c r="Y9" s="55">
        <f>W9+X9</f>
        <v>40589287</v>
      </c>
      <c r="Z9" s="18"/>
      <c r="AA9" s="55">
        <f>Y9+Z9</f>
        <v>40589287</v>
      </c>
      <c r="AB9" s="18">
        <v>1624587</v>
      </c>
      <c r="AC9" s="55">
        <f>AA9+AB9</f>
        <v>42213874</v>
      </c>
      <c r="AD9" s="18"/>
      <c r="AE9" s="17">
        <f>AC9+AD9</f>
        <v>42213874</v>
      </c>
      <c r="AF9" s="15">
        <f>D9+H9+L9+X9+AB9</f>
        <v>8826732.3999999985</v>
      </c>
      <c r="AG9" s="9"/>
    </row>
    <row r="10" spans="1:35" s="10" customFormat="1" ht="18.75" customHeight="1" x14ac:dyDescent="0.25">
      <c r="A10" s="11" t="s">
        <v>11</v>
      </c>
      <c r="B10" s="16" t="s">
        <v>12</v>
      </c>
      <c r="C10" s="17">
        <v>38105640.100000001</v>
      </c>
      <c r="D10" s="18"/>
      <c r="E10" s="55">
        <f>C10+D10</f>
        <v>38105640.100000001</v>
      </c>
      <c r="F10" s="18"/>
      <c r="G10" s="55">
        <f>E10+F10</f>
        <v>38105640.100000001</v>
      </c>
      <c r="H10" s="18"/>
      <c r="I10" s="55">
        <f t="shared" ref="I10:I30" si="4">G10+H10</f>
        <v>38105640.100000001</v>
      </c>
      <c r="J10" s="18"/>
      <c r="K10" s="55">
        <f>I10+J10</f>
        <v>38105640.100000001</v>
      </c>
      <c r="L10" s="18"/>
      <c r="M10" s="55">
        <f>K10+L10</f>
        <v>38105640.100000001</v>
      </c>
      <c r="N10" s="18"/>
      <c r="O10" s="55">
        <f>M10+N10</f>
        <v>38105640.100000001</v>
      </c>
      <c r="P10" s="18"/>
      <c r="Q10" s="55">
        <f>O10+P10</f>
        <v>38105640.100000001</v>
      </c>
      <c r="R10" s="18"/>
      <c r="S10" s="55">
        <f>Q10+R10</f>
        <v>38105640.100000001</v>
      </c>
      <c r="T10" s="18"/>
      <c r="U10" s="55">
        <f>S10+T10</f>
        <v>38105640.100000001</v>
      </c>
      <c r="V10" s="18"/>
      <c r="W10" s="55">
        <f>U10+V10</f>
        <v>38105640.100000001</v>
      </c>
      <c r="X10" s="18">
        <v>4419359.8999999985</v>
      </c>
      <c r="Y10" s="55">
        <f>W10+X10</f>
        <v>42525000</v>
      </c>
      <c r="Z10" s="18"/>
      <c r="AA10" s="55">
        <f>Y10+Z10</f>
        <v>42525000</v>
      </c>
      <c r="AB10" s="18">
        <v>1594247</v>
      </c>
      <c r="AC10" s="55">
        <f>AA10+AB10</f>
        <v>44119247</v>
      </c>
      <c r="AD10" s="18"/>
      <c r="AE10" s="17">
        <f>AC10+AD10</f>
        <v>44119247</v>
      </c>
      <c r="AF10" s="15">
        <f>X10+AB10</f>
        <v>6013606.8999999985</v>
      </c>
      <c r="AG10" s="9"/>
      <c r="AI10" s="63"/>
    </row>
    <row r="11" spans="1:35" s="10" customFormat="1" ht="38.25" customHeight="1" x14ac:dyDescent="0.2">
      <c r="A11" s="11" t="s">
        <v>13</v>
      </c>
      <c r="B11" s="12" t="s">
        <v>14</v>
      </c>
      <c r="C11" s="13">
        <f>C12</f>
        <v>14444687.800000001</v>
      </c>
      <c r="D11" s="14"/>
      <c r="E11" s="54">
        <f>E12</f>
        <v>14444687.800000001</v>
      </c>
      <c r="F11" s="14"/>
      <c r="G11" s="54">
        <f>G12</f>
        <v>14444687.800000001</v>
      </c>
      <c r="H11" s="14"/>
      <c r="I11" s="54">
        <f>I12</f>
        <v>14444687.800000001</v>
      </c>
      <c r="J11" s="14"/>
      <c r="K11" s="54">
        <f>K12</f>
        <v>14444687.800000001</v>
      </c>
      <c r="L11" s="14"/>
      <c r="M11" s="54">
        <f>M12</f>
        <v>14444687.800000001</v>
      </c>
      <c r="N11" s="14"/>
      <c r="O11" s="54">
        <f>O12</f>
        <v>14444687.800000001</v>
      </c>
      <c r="P11" s="14"/>
      <c r="Q11" s="54">
        <f>Q12</f>
        <v>14444687.800000001</v>
      </c>
      <c r="R11" s="14"/>
      <c r="S11" s="54">
        <f>S12</f>
        <v>14444687.800000001</v>
      </c>
      <c r="T11" s="14">
        <f>T12</f>
        <v>75132.5</v>
      </c>
      <c r="U11" s="54">
        <f>U12</f>
        <v>14519820.300000001</v>
      </c>
      <c r="V11" s="14"/>
      <c r="W11" s="54">
        <f t="shared" ref="W11:AF11" si="5">W12</f>
        <v>14519820.300000001</v>
      </c>
      <c r="X11" s="14">
        <f t="shared" si="5"/>
        <v>-239778.5</v>
      </c>
      <c r="Y11" s="54">
        <f t="shared" si="5"/>
        <v>14280041.800000001</v>
      </c>
      <c r="Z11" s="14">
        <f t="shared" si="5"/>
        <v>597635.39999999851</v>
      </c>
      <c r="AA11" s="54">
        <f>AA12</f>
        <v>14877677.199999999</v>
      </c>
      <c r="AB11" s="14">
        <f>AB12</f>
        <v>254430.80000000075</v>
      </c>
      <c r="AC11" s="54">
        <f>AC12</f>
        <v>15132108</v>
      </c>
      <c r="AD11" s="14"/>
      <c r="AE11" s="13">
        <f>AE12</f>
        <v>15132108</v>
      </c>
      <c r="AF11" s="15">
        <f t="shared" si="5"/>
        <v>687420.19999999925</v>
      </c>
      <c r="AG11" s="9"/>
      <c r="AI11" s="9"/>
    </row>
    <row r="12" spans="1:35" s="10" customFormat="1" ht="42.75" customHeight="1" x14ac:dyDescent="0.2">
      <c r="A12" s="11" t="s">
        <v>15</v>
      </c>
      <c r="B12" s="16" t="s">
        <v>16</v>
      </c>
      <c r="C12" s="17">
        <v>14444687.800000001</v>
      </c>
      <c r="D12" s="18"/>
      <c r="E12" s="55">
        <f>C12+D12</f>
        <v>14444687.800000001</v>
      </c>
      <c r="F12" s="18"/>
      <c r="G12" s="55">
        <f>E12+F12</f>
        <v>14444687.800000001</v>
      </c>
      <c r="H12" s="18"/>
      <c r="I12" s="55">
        <f t="shared" si="4"/>
        <v>14444687.800000001</v>
      </c>
      <c r="J12" s="18"/>
      <c r="K12" s="55">
        <f>I12+J12</f>
        <v>14444687.800000001</v>
      </c>
      <c r="L12" s="18"/>
      <c r="M12" s="55">
        <f>K12+L12</f>
        <v>14444687.800000001</v>
      </c>
      <c r="N12" s="18"/>
      <c r="O12" s="55">
        <f>M12+N12</f>
        <v>14444687.800000001</v>
      </c>
      <c r="P12" s="18"/>
      <c r="Q12" s="55">
        <f>O12+P12</f>
        <v>14444687.800000001</v>
      </c>
      <c r="R12" s="18"/>
      <c r="S12" s="55">
        <f>Q12+R12</f>
        <v>14444687.800000001</v>
      </c>
      <c r="T12" s="18">
        <v>75132.5</v>
      </c>
      <c r="U12" s="55">
        <f>S12+T12</f>
        <v>14519820.300000001</v>
      </c>
      <c r="V12" s="18"/>
      <c r="W12" s="55">
        <f>U12+V12</f>
        <v>14519820.300000001</v>
      </c>
      <c r="X12" s="18">
        <v>-239778.5</v>
      </c>
      <c r="Y12" s="55">
        <f>W12+X12</f>
        <v>14280041.800000001</v>
      </c>
      <c r="Z12" s="18">
        <v>597635.39999999851</v>
      </c>
      <c r="AA12" s="55">
        <f>Y12+Z12</f>
        <v>14877677.199999999</v>
      </c>
      <c r="AB12" s="18">
        <v>254430.80000000075</v>
      </c>
      <c r="AC12" s="55">
        <f>AA12+AB12</f>
        <v>15132108</v>
      </c>
      <c r="AD12" s="18"/>
      <c r="AE12" s="17">
        <f>AC12+AD12</f>
        <v>15132108</v>
      </c>
      <c r="AF12" s="15">
        <f>T12+X12+Z12+AB12</f>
        <v>687420.19999999925</v>
      </c>
      <c r="AG12" s="9"/>
    </row>
    <row r="13" spans="1:35" s="10" customFormat="1" ht="19.5" customHeight="1" x14ac:dyDescent="0.2">
      <c r="A13" s="11" t="s">
        <v>17</v>
      </c>
      <c r="B13" s="12" t="s">
        <v>18</v>
      </c>
      <c r="C13" s="13">
        <f>C14+C15</f>
        <v>10319461</v>
      </c>
      <c r="D13" s="14"/>
      <c r="E13" s="54">
        <f>E14+E15</f>
        <v>10319461</v>
      </c>
      <c r="F13" s="14"/>
      <c r="G13" s="54">
        <f>G14+G15</f>
        <v>10319461</v>
      </c>
      <c r="H13" s="14"/>
      <c r="I13" s="54">
        <f>I14+I15</f>
        <v>10319461</v>
      </c>
      <c r="J13" s="14"/>
      <c r="K13" s="54">
        <f>K14+K15</f>
        <v>10319461</v>
      </c>
      <c r="L13" s="14"/>
      <c r="M13" s="54">
        <f>M14+M15</f>
        <v>10319461</v>
      </c>
      <c r="N13" s="14"/>
      <c r="O13" s="54">
        <f>O14+O15</f>
        <v>10319461</v>
      </c>
      <c r="P13" s="14"/>
      <c r="Q13" s="54">
        <f>Q14+Q15</f>
        <v>10319461</v>
      </c>
      <c r="R13" s="14"/>
      <c r="S13" s="54">
        <f>S14+S15</f>
        <v>10319461</v>
      </c>
      <c r="T13" s="14"/>
      <c r="U13" s="54">
        <f>U14+U15</f>
        <v>10319461</v>
      </c>
      <c r="V13" s="14"/>
      <c r="W13" s="54">
        <f>W14+W15</f>
        <v>10319461</v>
      </c>
      <c r="X13" s="14">
        <f>X14+X15</f>
        <v>1326095</v>
      </c>
      <c r="Y13" s="54">
        <f>Y14+Y15</f>
        <v>11645556</v>
      </c>
      <c r="Z13" s="14"/>
      <c r="AA13" s="54">
        <f>AA14+AA15</f>
        <v>11645556</v>
      </c>
      <c r="AB13" s="14">
        <f>AB14+AB15</f>
        <v>561059</v>
      </c>
      <c r="AC13" s="54">
        <f>AC14+AC15</f>
        <v>12206615</v>
      </c>
      <c r="AD13" s="14"/>
      <c r="AE13" s="13">
        <f>AE14+AE15</f>
        <v>12206615</v>
      </c>
      <c r="AF13" s="15">
        <f>AF14+AF15</f>
        <v>1887154</v>
      </c>
      <c r="AG13" s="9"/>
    </row>
    <row r="14" spans="1:35" s="10" customFormat="1" ht="30.75" customHeight="1" x14ac:dyDescent="0.2">
      <c r="A14" s="11" t="s">
        <v>19</v>
      </c>
      <c r="B14" s="16" t="s">
        <v>20</v>
      </c>
      <c r="C14" s="17">
        <v>10085940</v>
      </c>
      <c r="D14" s="18"/>
      <c r="E14" s="55">
        <f>C14+D14</f>
        <v>10085940</v>
      </c>
      <c r="F14" s="18"/>
      <c r="G14" s="55">
        <f>E14+F14</f>
        <v>10085940</v>
      </c>
      <c r="H14" s="18"/>
      <c r="I14" s="55">
        <f t="shared" si="4"/>
        <v>10085940</v>
      </c>
      <c r="J14" s="18"/>
      <c r="K14" s="55">
        <f>I14+J14</f>
        <v>10085940</v>
      </c>
      <c r="L14" s="18"/>
      <c r="M14" s="55">
        <f>K14+L14</f>
        <v>10085940</v>
      </c>
      <c r="N14" s="18"/>
      <c r="O14" s="55">
        <f>M14+N14</f>
        <v>10085940</v>
      </c>
      <c r="P14" s="18"/>
      <c r="Q14" s="55">
        <f>O14+P14</f>
        <v>10085940</v>
      </c>
      <c r="R14" s="18"/>
      <c r="S14" s="55">
        <f>Q14+R14</f>
        <v>10085940</v>
      </c>
      <c r="T14" s="18"/>
      <c r="U14" s="55">
        <f>S14+T14</f>
        <v>10085940</v>
      </c>
      <c r="V14" s="18"/>
      <c r="W14" s="55">
        <f>U14+V14</f>
        <v>10085940</v>
      </c>
      <c r="X14" s="18">
        <v>1076616</v>
      </c>
      <c r="Y14" s="55">
        <f>W14+X14</f>
        <v>11162556</v>
      </c>
      <c r="Z14" s="18"/>
      <c r="AA14" s="55">
        <f>Y14+Z14</f>
        <v>11162556</v>
      </c>
      <c r="AB14" s="18">
        <v>524059</v>
      </c>
      <c r="AC14" s="55">
        <f>AA14+AB14</f>
        <v>11686615</v>
      </c>
      <c r="AD14" s="18"/>
      <c r="AE14" s="17">
        <f>AC14+AD14</f>
        <v>11686615</v>
      </c>
      <c r="AF14" s="15">
        <f>X14+AB14</f>
        <v>1600675</v>
      </c>
      <c r="AG14" s="9"/>
    </row>
    <row r="15" spans="1:35" s="10" customFormat="1" ht="20.25" customHeight="1" x14ac:dyDescent="0.2">
      <c r="A15" s="11" t="s">
        <v>21</v>
      </c>
      <c r="B15" s="16" t="s">
        <v>22</v>
      </c>
      <c r="C15" s="17">
        <v>233521</v>
      </c>
      <c r="D15" s="18"/>
      <c r="E15" s="55">
        <f>C15+D15</f>
        <v>233521</v>
      </c>
      <c r="F15" s="18"/>
      <c r="G15" s="55">
        <f>E15+F15</f>
        <v>233521</v>
      </c>
      <c r="H15" s="18"/>
      <c r="I15" s="55">
        <f t="shared" si="4"/>
        <v>233521</v>
      </c>
      <c r="J15" s="18"/>
      <c r="K15" s="55">
        <f>I15+J15</f>
        <v>233521</v>
      </c>
      <c r="L15" s="18"/>
      <c r="M15" s="55">
        <f>K15+L15</f>
        <v>233521</v>
      </c>
      <c r="N15" s="18"/>
      <c r="O15" s="55">
        <f>M15+N15</f>
        <v>233521</v>
      </c>
      <c r="P15" s="18"/>
      <c r="Q15" s="55">
        <f>O15+P15</f>
        <v>233521</v>
      </c>
      <c r="R15" s="18"/>
      <c r="S15" s="55">
        <f>Q15+R15</f>
        <v>233521</v>
      </c>
      <c r="T15" s="18"/>
      <c r="U15" s="55">
        <f>S15+T15</f>
        <v>233521</v>
      </c>
      <c r="V15" s="18"/>
      <c r="W15" s="55">
        <f>U15+V15</f>
        <v>233521</v>
      </c>
      <c r="X15" s="18">
        <v>249479</v>
      </c>
      <c r="Y15" s="55">
        <f>W15+X15</f>
        <v>483000</v>
      </c>
      <c r="Z15" s="18"/>
      <c r="AA15" s="55">
        <f>Y15+Z15</f>
        <v>483000</v>
      </c>
      <c r="AB15" s="18">
        <v>37000</v>
      </c>
      <c r="AC15" s="55">
        <f>AA15+AB15</f>
        <v>520000</v>
      </c>
      <c r="AD15" s="18"/>
      <c r="AE15" s="17">
        <f>AC15+AD15</f>
        <v>520000</v>
      </c>
      <c r="AF15" s="15">
        <f>X15+AB15</f>
        <v>286479</v>
      </c>
      <c r="AG15" s="9"/>
    </row>
    <row r="16" spans="1:35" s="10" customFormat="1" ht="19.5" customHeight="1" x14ac:dyDescent="0.2">
      <c r="A16" s="20" t="s">
        <v>23</v>
      </c>
      <c r="B16" s="12" t="s">
        <v>24</v>
      </c>
      <c r="C16" s="13">
        <f>C17+C18</f>
        <v>10430215</v>
      </c>
      <c r="D16" s="14"/>
      <c r="E16" s="54">
        <f>E17+E18</f>
        <v>10430215</v>
      </c>
      <c r="F16" s="14"/>
      <c r="G16" s="54">
        <f>G17+G18</f>
        <v>10430215</v>
      </c>
      <c r="H16" s="14"/>
      <c r="I16" s="54">
        <f>I17+I18</f>
        <v>10430215</v>
      </c>
      <c r="J16" s="14"/>
      <c r="K16" s="54">
        <f>K17+K18</f>
        <v>10430215</v>
      </c>
      <c r="L16" s="14"/>
      <c r="M16" s="54">
        <f>M17+M18</f>
        <v>10430215</v>
      </c>
      <c r="N16" s="14"/>
      <c r="O16" s="54">
        <f>O17+O18</f>
        <v>10430215</v>
      </c>
      <c r="P16" s="14"/>
      <c r="Q16" s="54">
        <f>Q17+Q18</f>
        <v>10430215</v>
      </c>
      <c r="R16" s="14"/>
      <c r="S16" s="54">
        <f>S17+S18</f>
        <v>10430215</v>
      </c>
      <c r="T16" s="14"/>
      <c r="U16" s="54">
        <f>U17+U18</f>
        <v>10430215</v>
      </c>
      <c r="V16" s="14"/>
      <c r="W16" s="54">
        <f>W17+W18</f>
        <v>10430215</v>
      </c>
      <c r="X16" s="14">
        <f>X17+X18</f>
        <v>-75193</v>
      </c>
      <c r="Y16" s="54">
        <f>Y17+Y18</f>
        <v>10355022</v>
      </c>
      <c r="Z16" s="14"/>
      <c r="AA16" s="54">
        <f>AA17+AA18</f>
        <v>10355022</v>
      </c>
      <c r="AB16" s="14">
        <f>AB17+AB18</f>
        <v>502067</v>
      </c>
      <c r="AC16" s="54">
        <f>AC17+AC18</f>
        <v>10857089</v>
      </c>
      <c r="AD16" s="14"/>
      <c r="AE16" s="13">
        <f>AE18+AE17</f>
        <v>10857089</v>
      </c>
      <c r="AF16" s="15">
        <f>AF17+AF18</f>
        <v>426874</v>
      </c>
      <c r="AG16" s="9"/>
    </row>
    <row r="17" spans="1:34" s="10" customFormat="1" ht="15.75" customHeight="1" x14ac:dyDescent="0.2">
      <c r="A17" s="11" t="s">
        <v>25</v>
      </c>
      <c r="B17" s="16" t="s">
        <v>26</v>
      </c>
      <c r="C17" s="17">
        <v>10426183</v>
      </c>
      <c r="D17" s="18"/>
      <c r="E17" s="55">
        <f>C17+D17</f>
        <v>10426183</v>
      </c>
      <c r="F17" s="18"/>
      <c r="G17" s="55">
        <f>E17+F17</f>
        <v>10426183</v>
      </c>
      <c r="H17" s="18"/>
      <c r="I17" s="55">
        <f t="shared" si="4"/>
        <v>10426183</v>
      </c>
      <c r="J17" s="18"/>
      <c r="K17" s="55">
        <f>I17+J17</f>
        <v>10426183</v>
      </c>
      <c r="L17" s="18"/>
      <c r="M17" s="55">
        <f>K17+L17</f>
        <v>10426183</v>
      </c>
      <c r="N17" s="18"/>
      <c r="O17" s="55">
        <f>M17+N17</f>
        <v>10426183</v>
      </c>
      <c r="P17" s="18"/>
      <c r="Q17" s="55">
        <f>O17+P17</f>
        <v>10426183</v>
      </c>
      <c r="R17" s="18"/>
      <c r="S17" s="55">
        <f>Q17+R17</f>
        <v>10426183</v>
      </c>
      <c r="T17" s="18"/>
      <c r="U17" s="55">
        <f>S17+T17</f>
        <v>10426183</v>
      </c>
      <c r="V17" s="18"/>
      <c r="W17" s="55">
        <f>U17+V17</f>
        <v>10426183</v>
      </c>
      <c r="X17" s="18">
        <v>-75529</v>
      </c>
      <c r="Y17" s="55">
        <f>W17+X17</f>
        <v>10350654</v>
      </c>
      <c r="Z17" s="18"/>
      <c r="AA17" s="55">
        <f>Y17+Z17</f>
        <v>10350654</v>
      </c>
      <c r="AB17" s="18">
        <v>502077</v>
      </c>
      <c r="AC17" s="55">
        <f>AA17+AB17</f>
        <v>10852731</v>
      </c>
      <c r="AD17" s="18"/>
      <c r="AE17" s="17">
        <f>AC17+AD17</f>
        <v>10852731</v>
      </c>
      <c r="AF17" s="15">
        <f>X17+AB17</f>
        <v>426548</v>
      </c>
      <c r="AG17" s="9"/>
    </row>
    <row r="18" spans="1:34" s="10" customFormat="1" ht="18" customHeight="1" x14ac:dyDescent="0.2">
      <c r="A18" s="11" t="s">
        <v>27</v>
      </c>
      <c r="B18" s="16" t="s">
        <v>28</v>
      </c>
      <c r="C18" s="17">
        <v>4032</v>
      </c>
      <c r="D18" s="18"/>
      <c r="E18" s="55">
        <f>C18+D18</f>
        <v>4032</v>
      </c>
      <c r="F18" s="18"/>
      <c r="G18" s="55">
        <f>E18+F18</f>
        <v>4032</v>
      </c>
      <c r="H18" s="18"/>
      <c r="I18" s="55">
        <f t="shared" si="4"/>
        <v>4032</v>
      </c>
      <c r="J18" s="18"/>
      <c r="K18" s="55">
        <f>I18+J18</f>
        <v>4032</v>
      </c>
      <c r="L18" s="18"/>
      <c r="M18" s="55">
        <f>K18+L18</f>
        <v>4032</v>
      </c>
      <c r="N18" s="18"/>
      <c r="O18" s="55">
        <f>M18+N18</f>
        <v>4032</v>
      </c>
      <c r="P18" s="18"/>
      <c r="Q18" s="55">
        <f>O18+P18</f>
        <v>4032</v>
      </c>
      <c r="R18" s="18"/>
      <c r="S18" s="55">
        <f>Q18+R18</f>
        <v>4032</v>
      </c>
      <c r="T18" s="18"/>
      <c r="U18" s="55">
        <f>S18+T18</f>
        <v>4032</v>
      </c>
      <c r="V18" s="18"/>
      <c r="W18" s="55">
        <f>U18+V18</f>
        <v>4032</v>
      </c>
      <c r="X18" s="18">
        <v>336</v>
      </c>
      <c r="Y18" s="55">
        <f>W18+X18</f>
        <v>4368</v>
      </c>
      <c r="Z18" s="18"/>
      <c r="AA18" s="55">
        <f>Y18+Z18</f>
        <v>4368</v>
      </c>
      <c r="AB18" s="18">
        <v>-10</v>
      </c>
      <c r="AC18" s="55">
        <f>AA18+AB18</f>
        <v>4358</v>
      </c>
      <c r="AD18" s="18"/>
      <c r="AE18" s="17">
        <f>AC18+AD18</f>
        <v>4358</v>
      </c>
      <c r="AF18" s="15">
        <f>X18+AB18</f>
        <v>326</v>
      </c>
      <c r="AG18" s="9"/>
    </row>
    <row r="19" spans="1:34" s="10" customFormat="1" ht="32.25" customHeight="1" x14ac:dyDescent="0.2">
      <c r="A19" s="20" t="s">
        <v>29</v>
      </c>
      <c r="B19" s="12" t="s">
        <v>30</v>
      </c>
      <c r="C19" s="13">
        <f>C20+C21</f>
        <v>243662</v>
      </c>
      <c r="D19" s="14"/>
      <c r="E19" s="54">
        <f>E20+E21</f>
        <v>243662</v>
      </c>
      <c r="F19" s="14"/>
      <c r="G19" s="54">
        <f>G20+G21</f>
        <v>243662</v>
      </c>
      <c r="H19" s="14"/>
      <c r="I19" s="54">
        <f>I20+I21</f>
        <v>243662</v>
      </c>
      <c r="J19" s="14"/>
      <c r="K19" s="54">
        <f>K20+K21</f>
        <v>243662</v>
      </c>
      <c r="L19" s="14"/>
      <c r="M19" s="54">
        <f>M20+M21</f>
        <v>243662</v>
      </c>
      <c r="N19" s="14"/>
      <c r="O19" s="54">
        <f>O20+O21</f>
        <v>243662</v>
      </c>
      <c r="P19" s="14"/>
      <c r="Q19" s="54">
        <f>Q20+Q21</f>
        <v>243662</v>
      </c>
      <c r="R19" s="14"/>
      <c r="S19" s="54">
        <f>S20+S21</f>
        <v>243662</v>
      </c>
      <c r="T19" s="14"/>
      <c r="U19" s="54">
        <f>U20+U21</f>
        <v>243662</v>
      </c>
      <c r="V19" s="14"/>
      <c r="W19" s="54">
        <f>W20+W21</f>
        <v>243662</v>
      </c>
      <c r="X19" s="14">
        <f>X21+X20</f>
        <v>-4797</v>
      </c>
      <c r="Y19" s="54">
        <f>Y20+Y21</f>
        <v>238865</v>
      </c>
      <c r="Z19" s="14"/>
      <c r="AA19" s="54">
        <f>AA20+AA21</f>
        <v>238865</v>
      </c>
      <c r="AB19" s="14">
        <f>AB20+AB21</f>
        <v>119</v>
      </c>
      <c r="AC19" s="54">
        <f>AC20+AC21</f>
        <v>238984</v>
      </c>
      <c r="AD19" s="14"/>
      <c r="AE19" s="13">
        <f>AE20+AE21</f>
        <v>238984</v>
      </c>
      <c r="AF19" s="15">
        <f>AF20+AF21</f>
        <v>-4678</v>
      </c>
      <c r="AG19" s="9"/>
    </row>
    <row r="20" spans="1:34" s="10" customFormat="1" ht="18" customHeight="1" x14ac:dyDescent="0.2">
      <c r="A20" s="11" t="s">
        <v>31</v>
      </c>
      <c r="B20" s="16" t="s">
        <v>32</v>
      </c>
      <c r="C20" s="17">
        <v>239782</v>
      </c>
      <c r="D20" s="18"/>
      <c r="E20" s="55">
        <f>C20+D20</f>
        <v>239782</v>
      </c>
      <c r="F20" s="18"/>
      <c r="G20" s="55">
        <f>E20+F20</f>
        <v>239782</v>
      </c>
      <c r="H20" s="18"/>
      <c r="I20" s="55">
        <f t="shared" si="4"/>
        <v>239782</v>
      </c>
      <c r="J20" s="18"/>
      <c r="K20" s="55">
        <f>I20+J20</f>
        <v>239782</v>
      </c>
      <c r="L20" s="18"/>
      <c r="M20" s="55">
        <f>K20+L20</f>
        <v>239782</v>
      </c>
      <c r="N20" s="18"/>
      <c r="O20" s="55">
        <f>M20+N20</f>
        <v>239782</v>
      </c>
      <c r="P20" s="18"/>
      <c r="Q20" s="55">
        <f>O20+P20</f>
        <v>239782</v>
      </c>
      <c r="R20" s="18"/>
      <c r="S20" s="55">
        <f>Q20+R20</f>
        <v>239782</v>
      </c>
      <c r="T20" s="18"/>
      <c r="U20" s="55">
        <f>S20+T20</f>
        <v>239782</v>
      </c>
      <c r="V20" s="18"/>
      <c r="W20" s="55">
        <f>U20+V20</f>
        <v>239782</v>
      </c>
      <c r="X20" s="18">
        <v>-5226</v>
      </c>
      <c r="Y20" s="55">
        <f>W20+X20</f>
        <v>234556</v>
      </c>
      <c r="Z20" s="18"/>
      <c r="AA20" s="55">
        <f>Y20+Z20</f>
        <v>234556</v>
      </c>
      <c r="AB20" s="18">
        <v>633</v>
      </c>
      <c r="AC20" s="55">
        <f>AA20+AB20</f>
        <v>235189</v>
      </c>
      <c r="AD20" s="18"/>
      <c r="AE20" s="13">
        <f>AC20+AD20</f>
        <v>235189</v>
      </c>
      <c r="AF20" s="21">
        <f>X20+AB20</f>
        <v>-4593</v>
      </c>
      <c r="AG20" s="9"/>
    </row>
    <row r="21" spans="1:34" s="10" customFormat="1" ht="42" customHeight="1" x14ac:dyDescent="0.2">
      <c r="A21" s="11" t="s">
        <v>33</v>
      </c>
      <c r="B21" s="16" t="s">
        <v>34</v>
      </c>
      <c r="C21" s="17">
        <v>3880</v>
      </c>
      <c r="D21" s="18"/>
      <c r="E21" s="55">
        <f>C21+D21</f>
        <v>3880</v>
      </c>
      <c r="F21" s="18"/>
      <c r="G21" s="55">
        <f>E21+F21</f>
        <v>3880</v>
      </c>
      <c r="H21" s="18"/>
      <c r="I21" s="55">
        <f t="shared" si="4"/>
        <v>3880</v>
      </c>
      <c r="J21" s="18"/>
      <c r="K21" s="55">
        <f>I21+J21</f>
        <v>3880</v>
      </c>
      <c r="L21" s="18"/>
      <c r="M21" s="55">
        <f>K21+L21</f>
        <v>3880</v>
      </c>
      <c r="N21" s="18"/>
      <c r="O21" s="55">
        <f>M21+N21</f>
        <v>3880</v>
      </c>
      <c r="P21" s="18"/>
      <c r="Q21" s="55">
        <f>O21+P21</f>
        <v>3880</v>
      </c>
      <c r="R21" s="18"/>
      <c r="S21" s="55">
        <f>Q21+R21</f>
        <v>3880</v>
      </c>
      <c r="T21" s="18"/>
      <c r="U21" s="55">
        <f>S21+T21</f>
        <v>3880</v>
      </c>
      <c r="V21" s="18"/>
      <c r="W21" s="55">
        <f>U21+V21</f>
        <v>3880</v>
      </c>
      <c r="X21" s="18">
        <v>429</v>
      </c>
      <c r="Y21" s="55">
        <f>W21+X21</f>
        <v>4309</v>
      </c>
      <c r="Z21" s="18"/>
      <c r="AA21" s="55">
        <f>Y21+Z21</f>
        <v>4309</v>
      </c>
      <c r="AB21" s="18">
        <v>-514</v>
      </c>
      <c r="AC21" s="55">
        <f>AA21+AB21</f>
        <v>3795</v>
      </c>
      <c r="AD21" s="18"/>
      <c r="AE21" s="13">
        <f>AC21+AD21</f>
        <v>3795</v>
      </c>
      <c r="AF21" s="21">
        <f>X21+AB21</f>
        <v>-85</v>
      </c>
      <c r="AG21" s="9"/>
    </row>
    <row r="22" spans="1:34" s="10" customFormat="1" ht="16.5" customHeight="1" x14ac:dyDescent="0.2">
      <c r="A22" s="11" t="s">
        <v>35</v>
      </c>
      <c r="B22" s="12" t="s">
        <v>36</v>
      </c>
      <c r="C22" s="13">
        <v>261027.9</v>
      </c>
      <c r="D22" s="14">
        <v>3432.5000000000291</v>
      </c>
      <c r="E22" s="54">
        <f>C22+D22</f>
        <v>264460.40000000002</v>
      </c>
      <c r="F22" s="14"/>
      <c r="G22" s="54">
        <f>E22+F22</f>
        <v>264460.40000000002</v>
      </c>
      <c r="H22" s="14"/>
      <c r="I22" s="54">
        <f t="shared" si="4"/>
        <v>264460.40000000002</v>
      </c>
      <c r="J22" s="14"/>
      <c r="K22" s="54">
        <f>I22+J22</f>
        <v>264460.40000000002</v>
      </c>
      <c r="L22" s="14"/>
      <c r="M22" s="54">
        <f>K22+L22</f>
        <v>264460.40000000002</v>
      </c>
      <c r="N22" s="14"/>
      <c r="O22" s="54">
        <f>M22+N22</f>
        <v>264460.40000000002</v>
      </c>
      <c r="P22" s="14"/>
      <c r="Q22" s="54">
        <f>O22+P22</f>
        <v>264460.40000000002</v>
      </c>
      <c r="R22" s="14"/>
      <c r="S22" s="54">
        <f>Q22+R22</f>
        <v>264460.40000000002</v>
      </c>
      <c r="T22" s="14">
        <v>5</v>
      </c>
      <c r="U22" s="54">
        <f>S22+T22</f>
        <v>264465.40000000002</v>
      </c>
      <c r="V22" s="14"/>
      <c r="W22" s="54">
        <f>U22+V22</f>
        <v>264465.40000000002</v>
      </c>
      <c r="X22" s="14">
        <v>16895</v>
      </c>
      <c r="Y22" s="54">
        <f>W22+X22</f>
        <v>281360.40000000002</v>
      </c>
      <c r="Z22" s="14"/>
      <c r="AA22" s="54">
        <f>Y22+Z22</f>
        <v>281360.40000000002</v>
      </c>
      <c r="AB22" s="14">
        <v>-368.40000000002328</v>
      </c>
      <c r="AC22" s="54">
        <f>AA22+AB22</f>
        <v>280992</v>
      </c>
      <c r="AD22" s="14">
        <v>-5339.5</v>
      </c>
      <c r="AE22" s="13">
        <f>AC22+AD22</f>
        <v>275652.5</v>
      </c>
      <c r="AF22" s="15">
        <f>D22+T22+X22+AB22+AD22</f>
        <v>14624.600000000006</v>
      </c>
      <c r="AG22" s="9"/>
    </row>
    <row r="23" spans="1:34" s="10" customFormat="1" ht="42" customHeight="1" x14ac:dyDescent="0.2">
      <c r="A23" s="11" t="s">
        <v>37</v>
      </c>
      <c r="B23" s="12" t="s">
        <v>38</v>
      </c>
      <c r="C23" s="13"/>
      <c r="D23" s="14"/>
      <c r="E23" s="54"/>
      <c r="F23" s="14"/>
      <c r="G23" s="54"/>
      <c r="H23" s="14"/>
      <c r="I23" s="54"/>
      <c r="J23" s="14"/>
      <c r="K23" s="54"/>
      <c r="L23" s="14"/>
      <c r="M23" s="54"/>
      <c r="N23" s="14"/>
      <c r="O23" s="54"/>
      <c r="P23" s="14"/>
      <c r="Q23" s="54"/>
      <c r="R23" s="14"/>
      <c r="S23" s="54"/>
      <c r="T23" s="14"/>
      <c r="U23" s="54"/>
      <c r="V23" s="14"/>
      <c r="W23" s="54"/>
      <c r="X23" s="14"/>
      <c r="Y23" s="54"/>
      <c r="Z23" s="14"/>
      <c r="AA23" s="54"/>
      <c r="AB23" s="14"/>
      <c r="AC23" s="54"/>
      <c r="AD23" s="14"/>
      <c r="AE23" s="13"/>
      <c r="AF23" s="15"/>
      <c r="AG23" s="9"/>
    </row>
    <row r="24" spans="1:34" ht="41.25" customHeight="1" x14ac:dyDescent="0.2">
      <c r="A24" s="11" t="s">
        <v>39</v>
      </c>
      <c r="B24" s="12" t="s">
        <v>40</v>
      </c>
      <c r="C24" s="13">
        <v>236484.2</v>
      </c>
      <c r="D24" s="14"/>
      <c r="E24" s="54">
        <f t="shared" ref="E24:E30" si="6">C24+D24</f>
        <v>236484.2</v>
      </c>
      <c r="F24" s="14">
        <v>123253</v>
      </c>
      <c r="G24" s="54">
        <f t="shared" ref="G24:G30" si="7">E24+F24</f>
        <v>359737.2</v>
      </c>
      <c r="H24" s="14"/>
      <c r="I24" s="54">
        <f t="shared" si="4"/>
        <v>359737.2</v>
      </c>
      <c r="J24" s="14"/>
      <c r="K24" s="54">
        <f t="shared" ref="K24:K30" si="8">I24+J24</f>
        <v>359737.2</v>
      </c>
      <c r="L24" s="14"/>
      <c r="M24" s="54">
        <f t="shared" ref="M24:M30" si="9">K24+L24</f>
        <v>359737.2</v>
      </c>
      <c r="N24" s="14"/>
      <c r="O24" s="54">
        <f t="shared" ref="O24:O30" si="10">M24+N24</f>
        <v>359737.2</v>
      </c>
      <c r="P24" s="14">
        <v>255200.3</v>
      </c>
      <c r="Q24" s="54">
        <f t="shared" ref="Q24:Q30" si="11">O24+P24</f>
        <v>614937.5</v>
      </c>
      <c r="R24" s="14"/>
      <c r="S24" s="54">
        <f t="shared" ref="S24:S30" si="12">Q24+R24</f>
        <v>614937.5</v>
      </c>
      <c r="T24" s="14">
        <v>169762</v>
      </c>
      <c r="U24" s="54">
        <f t="shared" ref="U24:U30" si="13">S24+T24</f>
        <v>784699.5</v>
      </c>
      <c r="V24" s="14"/>
      <c r="W24" s="54">
        <f t="shared" ref="W24:W30" si="14">U24+V24</f>
        <v>784699.5</v>
      </c>
      <c r="X24" s="14"/>
      <c r="Y24" s="54">
        <f t="shared" ref="Y24:Y30" si="15">W24+X24</f>
        <v>784699.5</v>
      </c>
      <c r="Z24" s="14"/>
      <c r="AA24" s="54">
        <f t="shared" ref="AA24:AA30" si="16">Y24+Z24</f>
        <v>784699.5</v>
      </c>
      <c r="AB24" s="14">
        <v>686103.60000000009</v>
      </c>
      <c r="AC24" s="54">
        <f t="shared" ref="AC24:AC30" si="17">AA24+AB24</f>
        <v>1470803.1</v>
      </c>
      <c r="AD24" s="14">
        <v>-6263.8000000000466</v>
      </c>
      <c r="AE24" s="13">
        <f t="shared" ref="AE24:AE30" si="18">AC24+AD24</f>
        <v>1464539.3</v>
      </c>
      <c r="AF24" s="15">
        <f>F24+P24+T24+AB24+AD24</f>
        <v>1228055.1000000001</v>
      </c>
      <c r="AG24" s="9"/>
    </row>
    <row r="25" spans="1:34" ht="30.75" customHeight="1" x14ac:dyDescent="0.2">
      <c r="A25" s="11" t="s">
        <v>41</v>
      </c>
      <c r="B25" s="12" t="s">
        <v>42</v>
      </c>
      <c r="C25" s="13">
        <v>120787</v>
      </c>
      <c r="D25" s="14"/>
      <c r="E25" s="54">
        <f t="shared" si="6"/>
        <v>120787</v>
      </c>
      <c r="F25" s="14"/>
      <c r="G25" s="54">
        <f t="shared" si="7"/>
        <v>120787</v>
      </c>
      <c r="H25" s="14"/>
      <c r="I25" s="54">
        <f t="shared" si="4"/>
        <v>120787</v>
      </c>
      <c r="J25" s="14"/>
      <c r="K25" s="54">
        <f t="shared" si="8"/>
        <v>120787</v>
      </c>
      <c r="L25" s="14"/>
      <c r="M25" s="54">
        <f t="shared" si="9"/>
        <v>120787</v>
      </c>
      <c r="N25" s="14"/>
      <c r="O25" s="54">
        <f t="shared" si="10"/>
        <v>120787</v>
      </c>
      <c r="P25" s="14"/>
      <c r="Q25" s="54">
        <f t="shared" si="11"/>
        <v>120787</v>
      </c>
      <c r="R25" s="14"/>
      <c r="S25" s="54">
        <f t="shared" si="12"/>
        <v>120787</v>
      </c>
      <c r="T25" s="14"/>
      <c r="U25" s="54">
        <f t="shared" si="13"/>
        <v>120787</v>
      </c>
      <c r="V25" s="14"/>
      <c r="W25" s="54">
        <f t="shared" si="14"/>
        <v>120787</v>
      </c>
      <c r="X25" s="14">
        <v>-6850</v>
      </c>
      <c r="Y25" s="54">
        <f t="shared" si="15"/>
        <v>113937</v>
      </c>
      <c r="Z25" s="14"/>
      <c r="AA25" s="54">
        <f t="shared" si="16"/>
        <v>113937</v>
      </c>
      <c r="AB25" s="14">
        <v>4585</v>
      </c>
      <c r="AC25" s="54">
        <f t="shared" si="17"/>
        <v>118522</v>
      </c>
      <c r="AD25" s="14">
        <v>5748.1000000000058</v>
      </c>
      <c r="AE25" s="13">
        <f t="shared" si="18"/>
        <v>124270.1</v>
      </c>
      <c r="AF25" s="15">
        <f>X25+AB25+AD25</f>
        <v>3483.1000000000058</v>
      </c>
      <c r="AG25" s="9"/>
    </row>
    <row r="26" spans="1:34" ht="33.75" customHeight="1" x14ac:dyDescent="0.2">
      <c r="A26" s="11" t="s">
        <v>43</v>
      </c>
      <c r="B26" s="12" t="s">
        <v>240</v>
      </c>
      <c r="C26" s="13">
        <v>242459.9</v>
      </c>
      <c r="D26" s="14">
        <v>-24865.299999999988</v>
      </c>
      <c r="E26" s="54">
        <f t="shared" si="6"/>
        <v>217594.6</v>
      </c>
      <c r="F26" s="14"/>
      <c r="G26" s="54">
        <f t="shared" si="7"/>
        <v>217594.6</v>
      </c>
      <c r="H26" s="14">
        <v>28935.199999999983</v>
      </c>
      <c r="I26" s="54">
        <f t="shared" si="4"/>
        <v>246529.8</v>
      </c>
      <c r="J26" s="14">
        <v>701008.7</v>
      </c>
      <c r="K26" s="54">
        <f t="shared" si="8"/>
        <v>947538.5</v>
      </c>
      <c r="L26" s="14"/>
      <c r="M26" s="54">
        <f t="shared" si="9"/>
        <v>947538.5</v>
      </c>
      <c r="N26" s="14"/>
      <c r="O26" s="54">
        <f t="shared" si="10"/>
        <v>947538.5</v>
      </c>
      <c r="P26" s="14"/>
      <c r="Q26" s="54">
        <f t="shared" si="11"/>
        <v>947538.5</v>
      </c>
      <c r="R26" s="14"/>
      <c r="S26" s="54">
        <f t="shared" si="12"/>
        <v>947538.5</v>
      </c>
      <c r="T26" s="14">
        <v>59209.800000000047</v>
      </c>
      <c r="U26" s="54">
        <f t="shared" si="13"/>
        <v>1006748.3</v>
      </c>
      <c r="V26" s="14">
        <v>475.29999999993015</v>
      </c>
      <c r="W26" s="54">
        <f t="shared" si="14"/>
        <v>1007223.6</v>
      </c>
      <c r="X26" s="14">
        <v>11455.70000000007</v>
      </c>
      <c r="Y26" s="54">
        <f t="shared" si="15"/>
        <v>1018679.3</v>
      </c>
      <c r="Z26" s="14"/>
      <c r="AA26" s="54">
        <f t="shared" si="16"/>
        <v>1018679.3</v>
      </c>
      <c r="AB26" s="14">
        <v>985790.3</v>
      </c>
      <c r="AC26" s="54">
        <f t="shared" si="17"/>
        <v>2004469.6</v>
      </c>
      <c r="AD26" s="14">
        <v>160811.19999999972</v>
      </c>
      <c r="AE26" s="13">
        <f t="shared" si="18"/>
        <v>2165280.7999999998</v>
      </c>
      <c r="AF26" s="15">
        <f>D26+H26+J26+T26+V26+X26+AB26+AD26</f>
        <v>1922820.9</v>
      </c>
      <c r="AG26" s="9"/>
    </row>
    <row r="27" spans="1:34" ht="28.5" customHeight="1" x14ac:dyDescent="0.2">
      <c r="A27" s="11" t="s">
        <v>44</v>
      </c>
      <c r="B27" s="12" t="s">
        <v>45</v>
      </c>
      <c r="C27" s="13">
        <v>128</v>
      </c>
      <c r="D27" s="14"/>
      <c r="E27" s="54">
        <f t="shared" si="6"/>
        <v>128</v>
      </c>
      <c r="F27" s="14"/>
      <c r="G27" s="54">
        <f t="shared" si="7"/>
        <v>128</v>
      </c>
      <c r="H27" s="14"/>
      <c r="I27" s="54">
        <f t="shared" si="4"/>
        <v>128</v>
      </c>
      <c r="J27" s="14"/>
      <c r="K27" s="54">
        <f t="shared" si="8"/>
        <v>128</v>
      </c>
      <c r="L27" s="14"/>
      <c r="M27" s="54">
        <f t="shared" si="9"/>
        <v>128</v>
      </c>
      <c r="N27" s="14"/>
      <c r="O27" s="54">
        <f t="shared" si="10"/>
        <v>128</v>
      </c>
      <c r="P27" s="14"/>
      <c r="Q27" s="54">
        <f t="shared" si="11"/>
        <v>128</v>
      </c>
      <c r="R27" s="14"/>
      <c r="S27" s="54">
        <f t="shared" si="12"/>
        <v>128</v>
      </c>
      <c r="T27" s="14"/>
      <c r="U27" s="54">
        <f t="shared" si="13"/>
        <v>128</v>
      </c>
      <c r="V27" s="14"/>
      <c r="W27" s="54">
        <f t="shared" si="14"/>
        <v>128</v>
      </c>
      <c r="X27" s="14"/>
      <c r="Y27" s="54">
        <f t="shared" si="15"/>
        <v>128</v>
      </c>
      <c r="Z27" s="14"/>
      <c r="AA27" s="54">
        <f t="shared" si="16"/>
        <v>128</v>
      </c>
      <c r="AB27" s="14">
        <v>9299.1</v>
      </c>
      <c r="AC27" s="54">
        <f t="shared" si="17"/>
        <v>9427.1</v>
      </c>
      <c r="AD27" s="14">
        <v>-128</v>
      </c>
      <c r="AE27" s="13">
        <f t="shared" si="18"/>
        <v>9299.1</v>
      </c>
      <c r="AF27" s="15">
        <f>AB27+AD27</f>
        <v>9171.1</v>
      </c>
      <c r="AG27" s="9"/>
    </row>
    <row r="28" spans="1:34" ht="15.75" customHeight="1" x14ac:dyDescent="0.2">
      <c r="A28" s="11" t="s">
        <v>46</v>
      </c>
      <c r="B28" s="12" t="s">
        <v>47</v>
      </c>
      <c r="C28" s="13">
        <v>16931.3</v>
      </c>
      <c r="D28" s="14"/>
      <c r="E28" s="54">
        <f t="shared" si="6"/>
        <v>16931.3</v>
      </c>
      <c r="F28" s="14"/>
      <c r="G28" s="54">
        <f t="shared" si="7"/>
        <v>16931.3</v>
      </c>
      <c r="H28" s="14"/>
      <c r="I28" s="54">
        <f t="shared" si="4"/>
        <v>16931.3</v>
      </c>
      <c r="J28" s="14"/>
      <c r="K28" s="54">
        <f t="shared" si="8"/>
        <v>16931.3</v>
      </c>
      <c r="L28" s="14"/>
      <c r="M28" s="54">
        <f t="shared" si="9"/>
        <v>16931.3</v>
      </c>
      <c r="N28" s="14"/>
      <c r="O28" s="54">
        <f t="shared" si="10"/>
        <v>16931.3</v>
      </c>
      <c r="P28" s="14"/>
      <c r="Q28" s="54">
        <f t="shared" si="11"/>
        <v>16931.3</v>
      </c>
      <c r="R28" s="14"/>
      <c r="S28" s="54">
        <f t="shared" si="12"/>
        <v>16931.3</v>
      </c>
      <c r="T28" s="14"/>
      <c r="U28" s="54">
        <f t="shared" si="13"/>
        <v>16931.3</v>
      </c>
      <c r="V28" s="14"/>
      <c r="W28" s="54">
        <f t="shared" si="14"/>
        <v>16931.3</v>
      </c>
      <c r="X28" s="14"/>
      <c r="Y28" s="54">
        <f t="shared" si="15"/>
        <v>16931.3</v>
      </c>
      <c r="Z28" s="14"/>
      <c r="AA28" s="54">
        <f t="shared" si="16"/>
        <v>16931.3</v>
      </c>
      <c r="AB28" s="14">
        <v>0.90000000000145519</v>
      </c>
      <c r="AC28" s="54">
        <f t="shared" si="17"/>
        <v>16932.2</v>
      </c>
      <c r="AD28" s="14">
        <v>1131.2999999999993</v>
      </c>
      <c r="AE28" s="13">
        <f t="shared" si="18"/>
        <v>18063.5</v>
      </c>
      <c r="AF28" s="15">
        <f>AB28+AD28</f>
        <v>1132.2000000000007</v>
      </c>
      <c r="AG28" s="9"/>
    </row>
    <row r="29" spans="1:34" ht="15.75" customHeight="1" x14ac:dyDescent="0.2">
      <c r="A29" s="11" t="s">
        <v>48</v>
      </c>
      <c r="B29" s="12" t="s">
        <v>49</v>
      </c>
      <c r="C29" s="13">
        <v>977941.3</v>
      </c>
      <c r="D29" s="14">
        <v>335024.80000000005</v>
      </c>
      <c r="E29" s="54">
        <f t="shared" si="6"/>
        <v>1312966.1000000001</v>
      </c>
      <c r="F29" s="14"/>
      <c r="G29" s="54">
        <f t="shared" si="7"/>
        <v>1312966.1000000001</v>
      </c>
      <c r="H29" s="14"/>
      <c r="I29" s="54">
        <f t="shared" si="4"/>
        <v>1312966.1000000001</v>
      </c>
      <c r="J29" s="14"/>
      <c r="K29" s="54">
        <f t="shared" si="8"/>
        <v>1312966.1000000001</v>
      </c>
      <c r="L29" s="14"/>
      <c r="M29" s="54">
        <f t="shared" si="9"/>
        <v>1312966.1000000001</v>
      </c>
      <c r="N29" s="14"/>
      <c r="O29" s="54">
        <f t="shared" si="10"/>
        <v>1312966.1000000001</v>
      </c>
      <c r="P29" s="14"/>
      <c r="Q29" s="54">
        <f t="shared" si="11"/>
        <v>1312966.1000000001</v>
      </c>
      <c r="R29" s="14"/>
      <c r="S29" s="54">
        <f t="shared" si="12"/>
        <v>1312966.1000000001</v>
      </c>
      <c r="T29" s="14">
        <v>8632.5999999998603</v>
      </c>
      <c r="U29" s="54">
        <f t="shared" si="13"/>
        <v>1321598.7</v>
      </c>
      <c r="V29" s="14"/>
      <c r="W29" s="54">
        <f t="shared" si="14"/>
        <v>1321598.7</v>
      </c>
      <c r="X29" s="14">
        <v>147806.19999999995</v>
      </c>
      <c r="Y29" s="54">
        <f t="shared" si="15"/>
        <v>1469404.9</v>
      </c>
      <c r="Z29" s="14">
        <v>600000</v>
      </c>
      <c r="AA29" s="54">
        <f t="shared" si="16"/>
        <v>2069404.9</v>
      </c>
      <c r="AB29" s="14">
        <v>17385.700000000186</v>
      </c>
      <c r="AC29" s="54">
        <f t="shared" si="17"/>
        <v>2086790.6</v>
      </c>
      <c r="AD29" s="14">
        <v>18161.799999999814</v>
      </c>
      <c r="AE29" s="13">
        <f t="shared" si="18"/>
        <v>2104952.4</v>
      </c>
      <c r="AF29" s="15">
        <f>D29+T29+X29+Z29+AB29+AD29</f>
        <v>1127011.0999999999</v>
      </c>
      <c r="AG29" s="9"/>
    </row>
    <row r="30" spans="1:34" ht="15.75" customHeight="1" x14ac:dyDescent="0.2">
      <c r="A30" s="11" t="s">
        <v>50</v>
      </c>
      <c r="B30" s="12" t="s">
        <v>51</v>
      </c>
      <c r="C30" s="13">
        <v>3920</v>
      </c>
      <c r="D30" s="14"/>
      <c r="E30" s="54">
        <f t="shared" si="6"/>
        <v>3920</v>
      </c>
      <c r="F30" s="14"/>
      <c r="G30" s="54">
        <f t="shared" si="7"/>
        <v>3920</v>
      </c>
      <c r="H30" s="14"/>
      <c r="I30" s="54">
        <f t="shared" si="4"/>
        <v>3920</v>
      </c>
      <c r="J30" s="14"/>
      <c r="K30" s="54">
        <f t="shared" si="8"/>
        <v>3920</v>
      </c>
      <c r="L30" s="14"/>
      <c r="M30" s="54">
        <f t="shared" si="9"/>
        <v>3920</v>
      </c>
      <c r="N30" s="14"/>
      <c r="O30" s="54">
        <f t="shared" si="10"/>
        <v>3920</v>
      </c>
      <c r="P30" s="14"/>
      <c r="Q30" s="54">
        <f t="shared" si="11"/>
        <v>3920</v>
      </c>
      <c r="R30" s="14"/>
      <c r="S30" s="54">
        <f t="shared" si="12"/>
        <v>3920</v>
      </c>
      <c r="T30" s="14"/>
      <c r="U30" s="54">
        <f t="shared" si="13"/>
        <v>3920</v>
      </c>
      <c r="V30" s="14"/>
      <c r="W30" s="54">
        <f t="shared" si="14"/>
        <v>3920</v>
      </c>
      <c r="X30" s="14"/>
      <c r="Y30" s="54">
        <f t="shared" si="15"/>
        <v>3920</v>
      </c>
      <c r="Z30" s="14"/>
      <c r="AA30" s="54">
        <f t="shared" si="16"/>
        <v>3920</v>
      </c>
      <c r="AB30" s="14">
        <v>368</v>
      </c>
      <c r="AC30" s="54">
        <f t="shared" si="17"/>
        <v>4288</v>
      </c>
      <c r="AD30" s="14">
        <v>2555.1000000000004</v>
      </c>
      <c r="AE30" s="13">
        <f t="shared" si="18"/>
        <v>6843.1</v>
      </c>
      <c r="AF30" s="15">
        <f>AB30+AD30</f>
        <v>2923.1000000000004</v>
      </c>
      <c r="AG30" s="9"/>
    </row>
    <row r="31" spans="1:34" s="10" customFormat="1" ht="18" customHeight="1" x14ac:dyDescent="0.2">
      <c r="A31" s="22" t="s">
        <v>52</v>
      </c>
      <c r="B31" s="61" t="s">
        <v>53</v>
      </c>
      <c r="C31" s="24">
        <f t="shared" ref="C31:G31" si="19">C32+C38+C39+C40+C41+C42</f>
        <v>45906881.200000003</v>
      </c>
      <c r="D31" s="24">
        <f t="shared" si="19"/>
        <v>707132.9</v>
      </c>
      <c r="E31" s="24">
        <f t="shared" si="19"/>
        <v>46614014.100000001</v>
      </c>
      <c r="F31" s="24"/>
      <c r="G31" s="24">
        <f t="shared" si="19"/>
        <v>46614014.100000001</v>
      </c>
      <c r="H31" s="24"/>
      <c r="I31" s="24">
        <f>I32+I38+I39+I40+I41+I42</f>
        <v>46614014.100000001</v>
      </c>
      <c r="J31" s="24">
        <f t="shared" ref="J31:U31" si="20">J32+J38+J39+J40+J41+J42</f>
        <v>2136458.0999999996</v>
      </c>
      <c r="K31" s="24">
        <f t="shared" si="20"/>
        <v>48750472.200000003</v>
      </c>
      <c r="L31" s="24">
        <f t="shared" si="20"/>
        <v>2673643.100000002</v>
      </c>
      <c r="M31" s="24">
        <f t="shared" si="20"/>
        <v>51424115.299999997</v>
      </c>
      <c r="N31" s="24">
        <f t="shared" si="20"/>
        <v>314707.19999999995</v>
      </c>
      <c r="O31" s="24">
        <f t="shared" si="20"/>
        <v>51738822.5</v>
      </c>
      <c r="P31" s="24">
        <f t="shared" si="20"/>
        <v>2789725.1999999983</v>
      </c>
      <c r="Q31" s="24">
        <f t="shared" si="20"/>
        <v>54528547.699999996</v>
      </c>
      <c r="R31" s="24">
        <f t="shared" si="20"/>
        <v>1357800</v>
      </c>
      <c r="S31" s="24">
        <f t="shared" si="20"/>
        <v>55886347.699999996</v>
      </c>
      <c r="T31" s="24">
        <f t="shared" si="20"/>
        <v>685137.19999999891</v>
      </c>
      <c r="U31" s="24">
        <f t="shared" si="20"/>
        <v>56571484.899999999</v>
      </c>
      <c r="V31" s="24">
        <f>V32+V38+V39+V40+V41+V42</f>
        <v>-349951.09999999881</v>
      </c>
      <c r="W31" s="24">
        <f>U31+V31-0.1</f>
        <v>56221533.699999996</v>
      </c>
      <c r="X31" s="24">
        <f>X32+X38+X39+X40+X41+X42</f>
        <v>397623.70000000019</v>
      </c>
      <c r="Y31" s="24">
        <f>Y32+Y38+Y39+Y40+Y41+Y42-0.1</f>
        <v>56619157.499999993</v>
      </c>
      <c r="Z31" s="24">
        <f t="shared" ref="Z31" si="21">Z32+Z38+Z39+Z40+Z41+Z42</f>
        <v>-50182.900000000169</v>
      </c>
      <c r="AA31" s="24">
        <f>AA32+AA38+AA39+AA40+AA41+AA42-0.1</f>
        <v>56568974.499999993</v>
      </c>
      <c r="AB31" s="24">
        <f>AB32+AB38+AB39+AB40+AB41+AB42</f>
        <v>-614380.40000000061</v>
      </c>
      <c r="AC31" s="24">
        <f>AC32+AC38+AC39+AC40+AC41+AC42</f>
        <v>55954594.199999996</v>
      </c>
      <c r="AD31" s="24">
        <f>AD32+AD38+AD39+AD40+AD41+AD42</f>
        <v>3248011.0999999996</v>
      </c>
      <c r="AE31" s="24">
        <f>AE32+AE38+AE39+AE40+AE41+AE42</f>
        <v>59202605.400000006</v>
      </c>
      <c r="AF31" s="24">
        <f>AF32+AF38+AF39+AF40+AF41+AF42</f>
        <v>13295724.199999999</v>
      </c>
      <c r="AG31" s="9"/>
      <c r="AH31" s="9"/>
    </row>
    <row r="32" spans="1:34" s="10" customFormat="1" ht="40.5" customHeight="1" x14ac:dyDescent="0.2">
      <c r="A32" s="11" t="s">
        <v>54</v>
      </c>
      <c r="B32" s="12" t="s">
        <v>55</v>
      </c>
      <c r="C32" s="13">
        <f>C33+C34+C35+C36+C37</f>
        <v>45906881.200000003</v>
      </c>
      <c r="D32" s="14">
        <f t="shared" ref="D32:AB32" si="22">D33+D34+D35+D36+D37</f>
        <v>-1309.1999999999534</v>
      </c>
      <c r="E32" s="13">
        <f t="shared" si="22"/>
        <v>45905572</v>
      </c>
      <c r="F32" s="14"/>
      <c r="G32" s="13">
        <f t="shared" si="22"/>
        <v>45905572</v>
      </c>
      <c r="H32" s="14"/>
      <c r="I32" s="13">
        <f t="shared" si="22"/>
        <v>45905572</v>
      </c>
      <c r="J32" s="14">
        <f t="shared" si="22"/>
        <v>818860.4999999993</v>
      </c>
      <c r="K32" s="54">
        <f t="shared" si="22"/>
        <v>46724432.5</v>
      </c>
      <c r="L32" s="14">
        <f t="shared" si="22"/>
        <v>2541712.700000002</v>
      </c>
      <c r="M32" s="54">
        <f t="shared" si="22"/>
        <v>49266145.200000003</v>
      </c>
      <c r="N32" s="14">
        <f t="shared" si="22"/>
        <v>234754.39999999991</v>
      </c>
      <c r="O32" s="54">
        <f t="shared" si="22"/>
        <v>49500899.600000001</v>
      </c>
      <c r="P32" s="14">
        <f t="shared" si="22"/>
        <v>2776148.3999999985</v>
      </c>
      <c r="Q32" s="54">
        <f t="shared" si="22"/>
        <v>52277048</v>
      </c>
      <c r="R32" s="14">
        <f t="shared" si="22"/>
        <v>1357800</v>
      </c>
      <c r="S32" s="54">
        <f t="shared" si="22"/>
        <v>53634848</v>
      </c>
      <c r="T32" s="14">
        <f t="shared" si="22"/>
        <v>686612.39999999898</v>
      </c>
      <c r="U32" s="54">
        <f t="shared" si="22"/>
        <v>54321460.399999999</v>
      </c>
      <c r="V32" s="14">
        <f t="shared" si="22"/>
        <v>-568209.69999999879</v>
      </c>
      <c r="W32" s="54">
        <f t="shared" si="22"/>
        <v>53753250.700000003</v>
      </c>
      <c r="X32" s="14">
        <f t="shared" si="22"/>
        <v>397623.70000000019</v>
      </c>
      <c r="Y32" s="54">
        <f>Y33+Y34+Y35+Y36+Y37+0.1</f>
        <v>54150874.5</v>
      </c>
      <c r="Z32" s="14">
        <f t="shared" si="22"/>
        <v>-107956.70000000019</v>
      </c>
      <c r="AA32" s="54">
        <f t="shared" si="22"/>
        <v>54042917.699999996</v>
      </c>
      <c r="AB32" s="14">
        <f t="shared" si="22"/>
        <v>-42386.100000000559</v>
      </c>
      <c r="AC32" s="54">
        <f>AC33+AC34+AC35+AC36+AC37</f>
        <v>54000531.599999994</v>
      </c>
      <c r="AD32" s="14">
        <f>AD33+AD34+AD35+AD36+AD37</f>
        <v>3221904.5999999996</v>
      </c>
      <c r="AE32" s="13">
        <f>AE33+AE34+AE35+AE36+AE37+0.1</f>
        <v>57222436.300000004</v>
      </c>
      <c r="AF32" s="15">
        <f>AF33+AF34+AF35+AF36+AF37+0.1</f>
        <v>11315555.1</v>
      </c>
      <c r="AG32" s="9"/>
    </row>
    <row r="33" spans="1:37" ht="27.75" customHeight="1" x14ac:dyDescent="0.2">
      <c r="A33" s="11" t="s">
        <v>56</v>
      </c>
      <c r="B33" s="12" t="s">
        <v>57</v>
      </c>
      <c r="C33" s="13">
        <v>17685707.800000001</v>
      </c>
      <c r="D33" s="14"/>
      <c r="E33" s="54">
        <f>C33+D33</f>
        <v>17685707.800000001</v>
      </c>
      <c r="F33" s="14"/>
      <c r="G33" s="54">
        <f>E33+F33</f>
        <v>17685707.800000001</v>
      </c>
      <c r="H33" s="14"/>
      <c r="I33" s="54">
        <f>G33+H33</f>
        <v>17685707.800000001</v>
      </c>
      <c r="J33" s="14"/>
      <c r="K33" s="54">
        <f>I33+J33</f>
        <v>17685707.800000001</v>
      </c>
      <c r="L33" s="14">
        <v>1900000</v>
      </c>
      <c r="M33" s="54">
        <f>K33+L33</f>
        <v>19585707.800000001</v>
      </c>
      <c r="N33" s="14"/>
      <c r="O33" s="54">
        <f>M33+N33</f>
        <v>19585707.800000001</v>
      </c>
      <c r="P33" s="14"/>
      <c r="Q33" s="54">
        <f>O33+P33</f>
        <v>19585707.800000001</v>
      </c>
      <c r="R33" s="14"/>
      <c r="S33" s="54">
        <f>Q33+R33</f>
        <v>19585707.800000001</v>
      </c>
      <c r="T33" s="14"/>
      <c r="U33" s="54">
        <f>S33+T33</f>
        <v>19585707.800000001</v>
      </c>
      <c r="V33" s="14"/>
      <c r="W33" s="54">
        <f>U33+V33</f>
        <v>19585707.800000001</v>
      </c>
      <c r="X33" s="14"/>
      <c r="Y33" s="54">
        <f>W33+X33</f>
        <v>19585707.800000001</v>
      </c>
      <c r="Z33" s="14"/>
      <c r="AA33" s="54">
        <f>Y33+Z33</f>
        <v>19585707.800000001</v>
      </c>
      <c r="AB33" s="14">
        <v>30000</v>
      </c>
      <c r="AC33" s="54">
        <f>AA33+AB33</f>
        <v>19615707.800000001</v>
      </c>
      <c r="AD33" s="14">
        <v>3990950.1999999993</v>
      </c>
      <c r="AE33" s="13">
        <f>AC33+AD33</f>
        <v>23606658</v>
      </c>
      <c r="AF33" s="15">
        <f>L33+AB33+AD33</f>
        <v>5920950.1999999993</v>
      </c>
      <c r="AG33" s="9"/>
      <c r="AH33" s="25"/>
      <c r="AI33" s="10"/>
      <c r="AJ33" s="25"/>
    </row>
    <row r="34" spans="1:37" ht="42" customHeight="1" x14ac:dyDescent="0.2">
      <c r="A34" s="11" t="s">
        <v>58</v>
      </c>
      <c r="B34" s="12" t="s">
        <v>59</v>
      </c>
      <c r="C34" s="13">
        <v>24197037.699999999</v>
      </c>
      <c r="D34" s="14"/>
      <c r="E34" s="54">
        <f t="shared" ref="E34:E38" si="23">C34+D34</f>
        <v>24197037.699999999</v>
      </c>
      <c r="F34" s="14"/>
      <c r="G34" s="54">
        <f t="shared" ref="G34:G38" si="24">E34+F34</f>
        <v>24197037.699999999</v>
      </c>
      <c r="H34" s="14"/>
      <c r="I34" s="54">
        <f t="shared" ref="I34:I38" si="25">G34+H34</f>
        <v>24197037.699999999</v>
      </c>
      <c r="J34" s="14">
        <v>304402.19999999925</v>
      </c>
      <c r="K34" s="54">
        <f t="shared" ref="K34:K41" si="26">I34+J34</f>
        <v>24501439.899999999</v>
      </c>
      <c r="L34" s="14">
        <v>348642.40000000224</v>
      </c>
      <c r="M34" s="54">
        <f t="shared" ref="M34:M41" si="27">K34+L34</f>
        <v>24850082.300000001</v>
      </c>
      <c r="N34" s="14">
        <v>139828.5</v>
      </c>
      <c r="O34" s="54">
        <f t="shared" ref="O34:O41" si="28">M34+N34</f>
        <v>24989910.800000001</v>
      </c>
      <c r="P34" s="14">
        <v>2580690.3999999985</v>
      </c>
      <c r="Q34" s="54">
        <f t="shared" ref="Q34:Q41" si="29">O34+P34</f>
        <v>27570601.199999999</v>
      </c>
      <c r="R34" s="14">
        <v>645000</v>
      </c>
      <c r="S34" s="54">
        <f t="shared" ref="S34:S41" si="30">Q34+R34</f>
        <v>28215601.199999999</v>
      </c>
      <c r="T34" s="14">
        <v>460050.19999999925</v>
      </c>
      <c r="U34" s="54">
        <f t="shared" ref="U34:U42" si="31">S34+T34</f>
        <v>28675651.399999999</v>
      </c>
      <c r="V34" s="14">
        <v>-1218071.6999999993</v>
      </c>
      <c r="W34" s="54">
        <f t="shared" ref="W34:W42" si="32">U34+V34</f>
        <v>27457579.699999999</v>
      </c>
      <c r="X34" s="14">
        <v>345913.30000000075</v>
      </c>
      <c r="Y34" s="54">
        <f t="shared" ref="Y34:Y42" si="33">W34+X34</f>
        <v>27803493</v>
      </c>
      <c r="Z34" s="14">
        <v>-25496.800000000745</v>
      </c>
      <c r="AA34" s="54">
        <f t="shared" ref="AA34:AA42" si="34">Y34+Z34</f>
        <v>27777996.199999999</v>
      </c>
      <c r="AB34" s="14">
        <v>-72386</v>
      </c>
      <c r="AC34" s="54">
        <f t="shared" ref="AC34:AC42" si="35">AA34+AB34</f>
        <v>27705610.199999999</v>
      </c>
      <c r="AD34" s="14">
        <v>-643950</v>
      </c>
      <c r="AE34" s="13">
        <f t="shared" ref="AE34:AE42" si="36">AC34+AD34</f>
        <v>27061660.199999999</v>
      </c>
      <c r="AF34" s="15">
        <f>J34+L34+N34+P34+R34+T34+V34+X34+Z34+AB34+AD34</f>
        <v>2864622.5</v>
      </c>
      <c r="AG34" s="9"/>
      <c r="AH34" s="25"/>
      <c r="AJ34" s="25"/>
    </row>
    <row r="35" spans="1:37" ht="27.75" customHeight="1" x14ac:dyDescent="0.2">
      <c r="A35" s="11" t="s">
        <v>60</v>
      </c>
      <c r="B35" s="12" t="s">
        <v>61</v>
      </c>
      <c r="C35" s="13">
        <v>2623677.5</v>
      </c>
      <c r="D35" s="14"/>
      <c r="E35" s="54">
        <f t="shared" si="23"/>
        <v>2623677.5</v>
      </c>
      <c r="F35" s="14"/>
      <c r="G35" s="54">
        <f t="shared" si="24"/>
        <v>2623677.5</v>
      </c>
      <c r="H35" s="14"/>
      <c r="I35" s="54">
        <f t="shared" si="25"/>
        <v>2623677.5</v>
      </c>
      <c r="J35" s="14"/>
      <c r="K35" s="54">
        <f t="shared" si="26"/>
        <v>2623677.5</v>
      </c>
      <c r="L35" s="14">
        <v>2982.6000000000931</v>
      </c>
      <c r="M35" s="54">
        <f t="shared" si="27"/>
        <v>2626660.1</v>
      </c>
      <c r="N35" s="14"/>
      <c r="O35" s="54">
        <f t="shared" si="28"/>
        <v>2626660.1</v>
      </c>
      <c r="P35" s="14"/>
      <c r="Q35" s="54">
        <f t="shared" si="29"/>
        <v>2626660.1</v>
      </c>
      <c r="R35" s="14"/>
      <c r="S35" s="54">
        <f t="shared" si="30"/>
        <v>2626660.1</v>
      </c>
      <c r="T35" s="14">
        <v>20450.199999999721</v>
      </c>
      <c r="U35" s="54">
        <f t="shared" si="31"/>
        <v>2647110.2999999998</v>
      </c>
      <c r="V35" s="14">
        <v>-90365.099999999627</v>
      </c>
      <c r="W35" s="54">
        <f t="shared" si="32"/>
        <v>2556745.2000000002</v>
      </c>
      <c r="X35" s="14">
        <v>-71.200000000186265</v>
      </c>
      <c r="Y35" s="54">
        <f t="shared" si="33"/>
        <v>2556674</v>
      </c>
      <c r="Z35" s="14">
        <v>-82465.700000000186</v>
      </c>
      <c r="AA35" s="54">
        <f t="shared" si="34"/>
        <v>2474208.2999999998</v>
      </c>
      <c r="AB35" s="14"/>
      <c r="AC35" s="54">
        <f t="shared" si="35"/>
        <v>2474208.2999999998</v>
      </c>
      <c r="AD35" s="14"/>
      <c r="AE35" s="13">
        <f t="shared" si="36"/>
        <v>2474208.2999999998</v>
      </c>
      <c r="AF35" s="15">
        <f>L35+T35+V35+X35+Z35</f>
        <v>-149469.20000000019</v>
      </c>
      <c r="AG35" s="9"/>
      <c r="AH35" s="25"/>
      <c r="AJ35" s="25"/>
    </row>
    <row r="36" spans="1:37" ht="21" customHeight="1" x14ac:dyDescent="0.2">
      <c r="A36" s="11" t="s">
        <v>62</v>
      </c>
      <c r="B36" s="12" t="s">
        <v>63</v>
      </c>
      <c r="C36" s="13">
        <v>1400458.2</v>
      </c>
      <c r="D36" s="14">
        <v>-1309.1999999999534</v>
      </c>
      <c r="E36" s="54">
        <f t="shared" si="23"/>
        <v>1399149</v>
      </c>
      <c r="F36" s="14"/>
      <c r="G36" s="54">
        <f t="shared" si="24"/>
        <v>1399149</v>
      </c>
      <c r="H36" s="14"/>
      <c r="I36" s="54">
        <f t="shared" si="25"/>
        <v>1399149</v>
      </c>
      <c r="J36" s="14">
        <v>514458.30000000005</v>
      </c>
      <c r="K36" s="54">
        <f t="shared" si="26"/>
        <v>1913607.3</v>
      </c>
      <c r="L36" s="14">
        <v>290087.69999999995</v>
      </c>
      <c r="M36" s="54">
        <f t="shared" si="27"/>
        <v>2203695</v>
      </c>
      <c r="N36" s="14">
        <v>94925.899999999907</v>
      </c>
      <c r="O36" s="54">
        <f t="shared" si="28"/>
        <v>2298620.9</v>
      </c>
      <c r="P36" s="14">
        <v>195458</v>
      </c>
      <c r="Q36" s="54">
        <f t="shared" si="29"/>
        <v>2494078.9</v>
      </c>
      <c r="R36" s="14">
        <v>712800</v>
      </c>
      <c r="S36" s="54">
        <f t="shared" si="30"/>
        <v>3206878.9</v>
      </c>
      <c r="T36" s="14">
        <v>206112</v>
      </c>
      <c r="U36" s="54">
        <f t="shared" si="31"/>
        <v>3412990.9</v>
      </c>
      <c r="V36" s="14">
        <v>740227.10000000009</v>
      </c>
      <c r="W36" s="54">
        <f t="shared" si="32"/>
        <v>4153218</v>
      </c>
      <c r="X36" s="14">
        <v>51781.599999999627</v>
      </c>
      <c r="Y36" s="54">
        <f t="shared" si="33"/>
        <v>4204999.5999999996</v>
      </c>
      <c r="Z36" s="14">
        <v>5.8000000007450581</v>
      </c>
      <c r="AA36" s="54">
        <f t="shared" si="34"/>
        <v>4205005.4000000004</v>
      </c>
      <c r="AB36" s="14">
        <v>-0.10000000055879354</v>
      </c>
      <c r="AC36" s="54">
        <f t="shared" si="35"/>
        <v>4205005.3</v>
      </c>
      <c r="AD36" s="14">
        <v>-125095.59999999963</v>
      </c>
      <c r="AE36" s="13">
        <f t="shared" si="36"/>
        <v>4079909.7</v>
      </c>
      <c r="AF36" s="15">
        <f>D36+J36+L36+N36+P36+R36+T36+V36+X36+Z36+AB36+AD36</f>
        <v>2679451.5</v>
      </c>
      <c r="AG36" s="9"/>
      <c r="AH36" s="25"/>
      <c r="AJ36" s="25"/>
    </row>
    <row r="37" spans="1:37" ht="27.75" customHeight="1" x14ac:dyDescent="0.2">
      <c r="A37" s="26" t="s">
        <v>64</v>
      </c>
      <c r="B37" s="27" t="s">
        <v>65</v>
      </c>
      <c r="C37" s="28"/>
      <c r="D37" s="14"/>
      <c r="E37" s="54"/>
      <c r="F37" s="14"/>
      <c r="G37" s="54"/>
      <c r="H37" s="14"/>
      <c r="I37" s="54"/>
      <c r="J37" s="14"/>
      <c r="K37" s="54"/>
      <c r="L37" s="14"/>
      <c r="M37" s="54"/>
      <c r="N37" s="14"/>
      <c r="O37" s="54"/>
      <c r="P37" s="14"/>
      <c r="Q37" s="54"/>
      <c r="R37" s="14"/>
      <c r="S37" s="54"/>
      <c r="T37" s="14"/>
      <c r="U37" s="54"/>
      <c r="V37" s="14"/>
      <c r="W37" s="54"/>
      <c r="X37" s="14"/>
      <c r="Y37" s="54"/>
      <c r="Z37" s="14"/>
      <c r="AA37" s="54"/>
      <c r="AB37" s="14"/>
      <c r="AC37" s="54"/>
      <c r="AD37" s="14"/>
      <c r="AE37" s="13"/>
      <c r="AF37" s="15"/>
      <c r="AG37" s="9"/>
    </row>
    <row r="38" spans="1:37" ht="40.5" customHeight="1" x14ac:dyDescent="0.2">
      <c r="A38" s="26" t="s">
        <v>235</v>
      </c>
      <c r="B38" s="27" t="s">
        <v>66</v>
      </c>
      <c r="C38" s="28"/>
      <c r="D38" s="14">
        <v>708442.1</v>
      </c>
      <c r="E38" s="54">
        <f t="shared" si="23"/>
        <v>708442.1</v>
      </c>
      <c r="F38" s="14"/>
      <c r="G38" s="54">
        <f t="shared" si="24"/>
        <v>708442.1</v>
      </c>
      <c r="H38" s="14"/>
      <c r="I38" s="54">
        <f t="shared" si="25"/>
        <v>708442.1</v>
      </c>
      <c r="J38" s="14">
        <v>287036.90000000002</v>
      </c>
      <c r="K38" s="54">
        <f t="shared" si="26"/>
        <v>995479</v>
      </c>
      <c r="L38" s="14">
        <v>97749.300000000047</v>
      </c>
      <c r="M38" s="54">
        <f t="shared" si="27"/>
        <v>1093228.3</v>
      </c>
      <c r="N38" s="14">
        <v>79952.800000000047</v>
      </c>
      <c r="O38" s="54">
        <f t="shared" si="28"/>
        <v>1173181.1000000001</v>
      </c>
      <c r="P38" s="14">
        <v>13576.799999999814</v>
      </c>
      <c r="Q38" s="54">
        <f t="shared" si="29"/>
        <v>1186757.8999999999</v>
      </c>
      <c r="R38" s="14"/>
      <c r="S38" s="54">
        <f t="shared" si="30"/>
        <v>1186757.8999999999</v>
      </c>
      <c r="T38" s="14"/>
      <c r="U38" s="54">
        <f t="shared" si="31"/>
        <v>1186757.8999999999</v>
      </c>
      <c r="V38" s="14"/>
      <c r="W38" s="54">
        <f t="shared" si="32"/>
        <v>1186757.8999999999</v>
      </c>
      <c r="X38" s="14"/>
      <c r="Y38" s="54">
        <f t="shared" si="33"/>
        <v>1186757.8999999999</v>
      </c>
      <c r="Z38" s="14"/>
      <c r="AA38" s="54">
        <f t="shared" si="34"/>
        <v>1186757.8999999999</v>
      </c>
      <c r="AB38" s="14"/>
      <c r="AC38" s="54">
        <f t="shared" si="35"/>
        <v>1186757.8999999999</v>
      </c>
      <c r="AD38" s="14">
        <v>-3082.6999999999534</v>
      </c>
      <c r="AE38" s="13">
        <f t="shared" si="36"/>
        <v>1183675.2</v>
      </c>
      <c r="AF38" s="15">
        <f>D38+J38+L38+N38+P38+AD38</f>
        <v>1183675.2</v>
      </c>
      <c r="AG38" s="9"/>
      <c r="AI38" s="25"/>
    </row>
    <row r="39" spans="1:37" ht="33" customHeight="1" x14ac:dyDescent="0.2">
      <c r="A39" s="26" t="s">
        <v>232</v>
      </c>
      <c r="B39" s="27" t="s">
        <v>233</v>
      </c>
      <c r="C39" s="28"/>
      <c r="D39" s="29"/>
      <c r="E39" s="54"/>
      <c r="F39" s="29"/>
      <c r="G39" s="54"/>
      <c r="H39" s="29"/>
      <c r="I39" s="54"/>
      <c r="J39" s="29"/>
      <c r="K39" s="54"/>
      <c r="L39" s="29"/>
      <c r="M39" s="54"/>
      <c r="N39" s="29"/>
      <c r="O39" s="54"/>
      <c r="P39" s="29"/>
      <c r="Q39" s="54"/>
      <c r="R39" s="29"/>
      <c r="S39" s="54"/>
      <c r="T39" s="29"/>
      <c r="U39" s="54"/>
      <c r="V39" s="29">
        <v>124993.60000000001</v>
      </c>
      <c r="W39" s="54">
        <f t="shared" si="32"/>
        <v>124993.60000000001</v>
      </c>
      <c r="X39" s="29"/>
      <c r="Y39" s="54">
        <f t="shared" si="33"/>
        <v>124993.60000000001</v>
      </c>
      <c r="Z39" s="29"/>
      <c r="AA39" s="54">
        <f t="shared" si="34"/>
        <v>124993.60000000001</v>
      </c>
      <c r="AB39" s="29"/>
      <c r="AC39" s="54">
        <f t="shared" si="35"/>
        <v>124993.60000000001</v>
      </c>
      <c r="AD39" s="29">
        <v>49793.5</v>
      </c>
      <c r="AE39" s="13">
        <f t="shared" si="36"/>
        <v>174787.1</v>
      </c>
      <c r="AF39" s="15">
        <f>V39+AD39</f>
        <v>174787.1</v>
      </c>
      <c r="AG39" s="9"/>
      <c r="AI39" s="25"/>
    </row>
    <row r="40" spans="1:37" ht="20.25" customHeight="1" x14ac:dyDescent="0.2">
      <c r="A40" s="26" t="s">
        <v>251</v>
      </c>
      <c r="B40" s="27" t="s">
        <v>252</v>
      </c>
      <c r="C40" s="28"/>
      <c r="D40" s="29"/>
      <c r="E40" s="54"/>
      <c r="F40" s="29"/>
      <c r="G40" s="54"/>
      <c r="H40" s="29"/>
      <c r="I40" s="54"/>
      <c r="J40" s="29">
        <v>1022797</v>
      </c>
      <c r="K40" s="54">
        <f t="shared" si="26"/>
        <v>1022797</v>
      </c>
      <c r="L40" s="29"/>
      <c r="M40" s="54">
        <f t="shared" si="27"/>
        <v>1022797</v>
      </c>
      <c r="N40" s="29"/>
      <c r="O40" s="54">
        <f t="shared" si="28"/>
        <v>1022797</v>
      </c>
      <c r="P40" s="29"/>
      <c r="Q40" s="54">
        <f t="shared" si="29"/>
        <v>1022797</v>
      </c>
      <c r="R40" s="29"/>
      <c r="S40" s="54">
        <f t="shared" si="30"/>
        <v>1022797</v>
      </c>
      <c r="T40" s="29"/>
      <c r="U40" s="54">
        <f t="shared" si="31"/>
        <v>1022797</v>
      </c>
      <c r="V40" s="29"/>
      <c r="W40" s="54">
        <f t="shared" si="32"/>
        <v>1022797</v>
      </c>
      <c r="X40" s="29"/>
      <c r="Y40" s="54">
        <f t="shared" si="33"/>
        <v>1022797</v>
      </c>
      <c r="Z40" s="29"/>
      <c r="AA40" s="54">
        <f t="shared" si="34"/>
        <v>1022797</v>
      </c>
      <c r="AB40" s="29">
        <v>300000</v>
      </c>
      <c r="AC40" s="54">
        <f t="shared" si="35"/>
        <v>1322797</v>
      </c>
      <c r="AD40" s="29"/>
      <c r="AE40" s="13">
        <f t="shared" si="36"/>
        <v>1322797</v>
      </c>
      <c r="AF40" s="15">
        <f>J40+AB40</f>
        <v>1322797</v>
      </c>
      <c r="AG40" s="9"/>
      <c r="AI40" s="25"/>
    </row>
    <row r="41" spans="1:37" ht="72" customHeight="1" x14ac:dyDescent="0.2">
      <c r="A41" s="26" t="s">
        <v>67</v>
      </c>
      <c r="B41" s="27" t="s">
        <v>68</v>
      </c>
      <c r="C41" s="28"/>
      <c r="D41" s="29"/>
      <c r="E41" s="54"/>
      <c r="F41" s="29"/>
      <c r="G41" s="54"/>
      <c r="H41" s="29"/>
      <c r="I41" s="54"/>
      <c r="J41" s="29">
        <v>7763.7</v>
      </c>
      <c r="K41" s="54">
        <f t="shared" si="26"/>
        <v>7763.7</v>
      </c>
      <c r="L41" s="29">
        <v>34181.100000000006</v>
      </c>
      <c r="M41" s="54">
        <f t="shared" si="27"/>
        <v>41944.800000000003</v>
      </c>
      <c r="N41" s="29"/>
      <c r="O41" s="54">
        <f t="shared" si="28"/>
        <v>41944.800000000003</v>
      </c>
      <c r="P41" s="29"/>
      <c r="Q41" s="54">
        <f t="shared" si="29"/>
        <v>41944.800000000003</v>
      </c>
      <c r="R41" s="29"/>
      <c r="S41" s="54">
        <f t="shared" si="30"/>
        <v>41944.800000000003</v>
      </c>
      <c r="T41" s="29">
        <v>38371.599999999991</v>
      </c>
      <c r="U41" s="54">
        <f t="shared" si="31"/>
        <v>80316.399999999994</v>
      </c>
      <c r="V41" s="29">
        <v>106677.9</v>
      </c>
      <c r="W41" s="54">
        <f t="shared" si="32"/>
        <v>186994.3</v>
      </c>
      <c r="X41" s="29"/>
      <c r="Y41" s="54">
        <f t="shared" si="33"/>
        <v>186994.3</v>
      </c>
      <c r="Z41" s="29">
        <v>57773.800000000017</v>
      </c>
      <c r="AA41" s="54">
        <f t="shared" si="34"/>
        <v>244768.1</v>
      </c>
      <c r="AB41" s="29"/>
      <c r="AC41" s="54">
        <f t="shared" si="35"/>
        <v>244768.1</v>
      </c>
      <c r="AD41" s="29">
        <v>179970.19999999998</v>
      </c>
      <c r="AE41" s="13">
        <f t="shared" si="36"/>
        <v>424738.3</v>
      </c>
      <c r="AF41" s="15">
        <f>J41+L41+T41+V41+Z41+AD41</f>
        <v>424738.3</v>
      </c>
      <c r="AG41" s="9"/>
    </row>
    <row r="42" spans="1:37" ht="55.5" customHeight="1" x14ac:dyDescent="0.2">
      <c r="A42" s="26" t="s">
        <v>69</v>
      </c>
      <c r="B42" s="27" t="s">
        <v>70</v>
      </c>
      <c r="C42" s="28"/>
      <c r="D42" s="29"/>
      <c r="E42" s="54"/>
      <c r="F42" s="29"/>
      <c r="G42" s="54"/>
      <c r="H42" s="29"/>
      <c r="I42" s="54"/>
      <c r="J42" s="29"/>
      <c r="K42" s="54"/>
      <c r="L42" s="29"/>
      <c r="M42" s="54"/>
      <c r="N42" s="29"/>
      <c r="O42" s="54"/>
      <c r="P42" s="29"/>
      <c r="Q42" s="54"/>
      <c r="R42" s="29"/>
      <c r="S42" s="54"/>
      <c r="T42" s="29">
        <v>-39846.800000000003</v>
      </c>
      <c r="U42" s="54">
        <f t="shared" si="31"/>
        <v>-39846.800000000003</v>
      </c>
      <c r="V42" s="29">
        <v>-13412.899999999994</v>
      </c>
      <c r="W42" s="54">
        <f t="shared" si="32"/>
        <v>-53259.7</v>
      </c>
      <c r="X42" s="29"/>
      <c r="Y42" s="54">
        <f t="shared" si="33"/>
        <v>-53259.7</v>
      </c>
      <c r="Z42" s="29"/>
      <c r="AA42" s="54">
        <f t="shared" si="34"/>
        <v>-53259.7</v>
      </c>
      <c r="AB42" s="29">
        <v>-871994.3</v>
      </c>
      <c r="AC42" s="54">
        <f t="shared" si="35"/>
        <v>-925254</v>
      </c>
      <c r="AD42" s="29">
        <v>-200574.5</v>
      </c>
      <c r="AE42" s="13">
        <f t="shared" si="36"/>
        <v>-1125828.5</v>
      </c>
      <c r="AF42" s="15">
        <f>T42+V42+AB42+AD42</f>
        <v>-1125828.5</v>
      </c>
      <c r="AG42" s="9"/>
      <c r="AH42" s="25"/>
    </row>
    <row r="43" spans="1:37" s="10" customFormat="1" ht="19.5" customHeight="1" thickBot="1" x14ac:dyDescent="0.25">
      <c r="A43" s="65" t="s">
        <v>71</v>
      </c>
      <c r="B43" s="66"/>
      <c r="C43" s="30">
        <f>C7+C31</f>
        <v>154697368.30000001</v>
      </c>
      <c r="D43" s="30">
        <f>D7+D31</f>
        <v>2160687.5000000014</v>
      </c>
      <c r="E43" s="30">
        <f t="shared" ref="E43:V43" si="37">E7+E31</f>
        <v>156858055.80000001</v>
      </c>
      <c r="F43" s="30">
        <f t="shared" si="37"/>
        <v>123253</v>
      </c>
      <c r="G43" s="30">
        <f t="shared" si="37"/>
        <v>156981308.80000001</v>
      </c>
      <c r="H43" s="30">
        <f t="shared" si="37"/>
        <v>2099999.9999999972</v>
      </c>
      <c r="I43" s="30">
        <f t="shared" si="37"/>
        <v>159081308.79999998</v>
      </c>
      <c r="J43" s="30">
        <f t="shared" si="37"/>
        <v>2837466.8</v>
      </c>
      <c r="K43" s="30">
        <f t="shared" si="37"/>
        <v>161918775.69999999</v>
      </c>
      <c r="L43" s="30">
        <f t="shared" si="37"/>
        <v>3573643.100000002</v>
      </c>
      <c r="M43" s="30">
        <f t="shared" si="37"/>
        <v>165492418.79999998</v>
      </c>
      <c r="N43" s="30">
        <f t="shared" si="37"/>
        <v>314707.19999999995</v>
      </c>
      <c r="O43" s="30">
        <f t="shared" si="37"/>
        <v>165807126</v>
      </c>
      <c r="P43" s="30">
        <f t="shared" si="37"/>
        <v>3044925.4999999981</v>
      </c>
      <c r="Q43" s="30">
        <f t="shared" si="37"/>
        <v>168852051.49999997</v>
      </c>
      <c r="R43" s="30">
        <f t="shared" si="37"/>
        <v>1357800</v>
      </c>
      <c r="S43" s="30">
        <f t="shared" si="37"/>
        <v>170209851.49999997</v>
      </c>
      <c r="T43" s="30">
        <f t="shared" si="37"/>
        <v>997879.09999999881</v>
      </c>
      <c r="U43" s="30">
        <f t="shared" si="37"/>
        <v>171207730.5</v>
      </c>
      <c r="V43" s="30">
        <f t="shared" si="37"/>
        <v>-349475.79999999888</v>
      </c>
      <c r="W43" s="30">
        <f>W7+W31</f>
        <v>170858254.59999999</v>
      </c>
      <c r="X43" s="30">
        <f>X7+X31</f>
        <v>9083734.9999999963</v>
      </c>
      <c r="Y43" s="30">
        <f t="shared" ref="Y43:AD43" si="38">Y7+Y31</f>
        <v>179941989.69999999</v>
      </c>
      <c r="Z43" s="30">
        <f t="shared" si="38"/>
        <v>1147452.4999999984</v>
      </c>
      <c r="AA43" s="30">
        <f t="shared" si="38"/>
        <v>181089442.09999999</v>
      </c>
      <c r="AB43" s="30">
        <f t="shared" si="38"/>
        <v>5625293.7999999998</v>
      </c>
      <c r="AC43" s="30">
        <f t="shared" si="38"/>
        <v>186714735.99999997</v>
      </c>
      <c r="AD43" s="30">
        <f t="shared" si="38"/>
        <v>3424687.2999999989</v>
      </c>
      <c r="AE43" s="30">
        <f>AE7+AE31</f>
        <v>190139423.09999999</v>
      </c>
      <c r="AF43" s="59">
        <f>AF7+AF31</f>
        <v>35442054.799999997</v>
      </c>
      <c r="AG43" s="9"/>
    </row>
    <row r="45" spans="1:37" x14ac:dyDescent="0.2">
      <c r="AE45" s="25"/>
      <c r="AG45" s="25"/>
      <c r="AK45" s="25"/>
    </row>
    <row r="46" spans="1:37" x14ac:dyDescent="0.2">
      <c r="C46" s="32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33"/>
      <c r="AF46" s="25"/>
    </row>
    <row r="47" spans="1:37" x14ac:dyDescent="0.2">
      <c r="AE47" s="25"/>
    </row>
    <row r="48" spans="1:37" x14ac:dyDescent="0.2">
      <c r="AB48" s="25"/>
      <c r="AC48" s="25"/>
      <c r="AD48" s="25"/>
      <c r="AE48" s="34"/>
      <c r="AF48" s="25"/>
    </row>
    <row r="49" spans="3:32" x14ac:dyDescent="0.2">
      <c r="C49" s="35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25"/>
    </row>
    <row r="50" spans="3:32" x14ac:dyDescent="0.2"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4"/>
      <c r="AF50" s="25"/>
    </row>
    <row r="51" spans="3:32" x14ac:dyDescent="0.2">
      <c r="C51" s="38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25"/>
      <c r="AF51" s="25"/>
    </row>
    <row r="52" spans="3:32" x14ac:dyDescent="0.2">
      <c r="C52" s="38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25"/>
      <c r="AF52" s="25"/>
    </row>
    <row r="54" spans="3:32" ht="15.75" x14ac:dyDescent="0.25">
      <c r="AE54" s="19"/>
    </row>
    <row r="56" spans="3:32" x14ac:dyDescent="0.2">
      <c r="AF56" s="25"/>
    </row>
  </sheetData>
  <mergeCells count="21">
    <mergeCell ref="V4:W4"/>
    <mergeCell ref="T4:U4"/>
    <mergeCell ref="R4:S4"/>
    <mergeCell ref="Z4:AA4"/>
    <mergeCell ref="AB4:AC4"/>
    <mergeCell ref="A43:B43"/>
    <mergeCell ref="A1:AF1"/>
    <mergeCell ref="A3:A5"/>
    <mergeCell ref="B3:B5"/>
    <mergeCell ref="C3:C5"/>
    <mergeCell ref="AE3:AE5"/>
    <mergeCell ref="AF3:AF5"/>
    <mergeCell ref="D4:E4"/>
    <mergeCell ref="F4:G4"/>
    <mergeCell ref="H4:I4"/>
    <mergeCell ref="J4:K4"/>
    <mergeCell ref="L4:M4"/>
    <mergeCell ref="N4:O4"/>
    <mergeCell ref="X4:Y4"/>
    <mergeCell ref="P4:Q4"/>
    <mergeCell ref="D3:AD3"/>
  </mergeCells>
  <printOptions horizontalCentered="1"/>
  <pageMargins left="7.874015748031496E-2" right="7.874015748031496E-2" top="0.31496062992125984" bottom="0.11811023622047245" header="0" footer="0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0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sqref="A1:AF1"/>
    </sheetView>
  </sheetViews>
  <sheetFormatPr defaultRowHeight="12.75" x14ac:dyDescent="0.2"/>
  <cols>
    <col min="1" max="1" width="19" style="1" customWidth="1"/>
    <col min="2" max="2" width="54.1640625" style="31" customWidth="1"/>
    <col min="3" max="3" width="24" style="31" customWidth="1"/>
    <col min="4" max="4" width="14" style="41" customWidth="1"/>
    <col min="5" max="5" width="17.6640625" style="41" customWidth="1"/>
    <col min="6" max="6" width="13.33203125" style="41" customWidth="1"/>
    <col min="7" max="7" width="18.6640625" style="41" customWidth="1"/>
    <col min="8" max="8" width="13.5" style="41" customWidth="1"/>
    <col min="9" max="9" width="18.6640625" style="41" customWidth="1"/>
    <col min="10" max="10" width="14.1640625" style="41" customWidth="1"/>
    <col min="11" max="11" width="16.1640625" style="41" customWidth="1"/>
    <col min="12" max="12" width="12.5" style="41" customWidth="1"/>
    <col min="13" max="13" width="16.1640625" style="41" customWidth="1"/>
    <col min="14" max="14" width="12" style="41" customWidth="1"/>
    <col min="15" max="15" width="16.1640625" style="41" customWidth="1"/>
    <col min="16" max="16" width="12.5" style="41" customWidth="1"/>
    <col min="17" max="17" width="16.1640625" style="41" customWidth="1"/>
    <col min="18" max="18" width="13" style="41" customWidth="1"/>
    <col min="19" max="19" width="16.1640625" style="41" customWidth="1"/>
    <col min="20" max="20" width="12.6640625" style="41" customWidth="1"/>
    <col min="21" max="21" width="16.33203125" style="41" customWidth="1"/>
    <col min="22" max="22" width="13" style="41" customWidth="1"/>
    <col min="23" max="23" width="15.33203125" style="41" customWidth="1"/>
    <col min="24" max="24" width="13.83203125" style="41" customWidth="1"/>
    <col min="25" max="30" width="15.33203125" style="41" customWidth="1"/>
    <col min="31" max="31" width="23.5" style="1" customWidth="1"/>
    <col min="32" max="32" width="15.5" style="1" customWidth="1"/>
    <col min="33" max="33" width="20" style="40" customWidth="1"/>
    <col min="34" max="34" width="23.6640625" style="1" customWidth="1"/>
    <col min="35" max="16384" width="9.33203125" style="1"/>
  </cols>
  <sheetData>
    <row r="1" spans="1:34" ht="23.25" customHeight="1" x14ac:dyDescent="0.2">
      <c r="A1" s="85" t="s">
        <v>242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</row>
    <row r="2" spans="1:34" ht="15.75" customHeight="1" thickBot="1" x14ac:dyDescent="0.25">
      <c r="B2" s="2"/>
      <c r="C2" s="2"/>
      <c r="AF2" s="3" t="s">
        <v>0</v>
      </c>
    </row>
    <row r="3" spans="1:34" ht="60.75" customHeight="1" thickBot="1" x14ac:dyDescent="0.25">
      <c r="A3" s="68" t="s">
        <v>72</v>
      </c>
      <c r="B3" s="68" t="s">
        <v>2</v>
      </c>
      <c r="C3" s="68" t="s">
        <v>239</v>
      </c>
      <c r="D3" s="87" t="s">
        <v>237</v>
      </c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9"/>
      <c r="AE3" s="86" t="s">
        <v>241</v>
      </c>
      <c r="AF3" s="68" t="s">
        <v>3</v>
      </c>
    </row>
    <row r="4" spans="1:34" ht="25.5" customHeight="1" thickBot="1" x14ac:dyDescent="0.25">
      <c r="A4" s="69"/>
      <c r="B4" s="69"/>
      <c r="C4" s="69"/>
      <c r="D4" s="76" t="s">
        <v>238</v>
      </c>
      <c r="E4" s="77"/>
      <c r="F4" s="76" t="s">
        <v>247</v>
      </c>
      <c r="G4" s="77"/>
      <c r="H4" s="76" t="s">
        <v>249</v>
      </c>
      <c r="I4" s="77"/>
      <c r="J4" s="76" t="s">
        <v>250</v>
      </c>
      <c r="K4" s="77"/>
      <c r="L4" s="76" t="s">
        <v>253</v>
      </c>
      <c r="M4" s="77"/>
      <c r="N4" s="76" t="s">
        <v>254</v>
      </c>
      <c r="O4" s="77"/>
      <c r="P4" s="76" t="s">
        <v>255</v>
      </c>
      <c r="Q4" s="77"/>
      <c r="R4" s="76" t="s">
        <v>256</v>
      </c>
      <c r="S4" s="77"/>
      <c r="T4" s="76" t="s">
        <v>257</v>
      </c>
      <c r="U4" s="77"/>
      <c r="V4" s="76" t="s">
        <v>260</v>
      </c>
      <c r="W4" s="77"/>
      <c r="X4" s="76" t="s">
        <v>261</v>
      </c>
      <c r="Y4" s="77"/>
      <c r="Z4" s="76" t="s">
        <v>262</v>
      </c>
      <c r="AA4" s="77"/>
      <c r="AB4" s="81" t="s">
        <v>264</v>
      </c>
      <c r="AC4" s="82"/>
      <c r="AD4" s="64" t="s">
        <v>265</v>
      </c>
      <c r="AE4" s="74"/>
      <c r="AF4" s="69"/>
    </row>
    <row r="5" spans="1:34" ht="27" customHeight="1" thickBot="1" x14ac:dyDescent="0.25">
      <c r="A5" s="70"/>
      <c r="B5" s="70"/>
      <c r="C5" s="72"/>
      <c r="D5" s="4" t="s">
        <v>4</v>
      </c>
      <c r="E5" s="4" t="s">
        <v>248</v>
      </c>
      <c r="F5" s="4" t="s">
        <v>4</v>
      </c>
      <c r="G5" s="4" t="s">
        <v>248</v>
      </c>
      <c r="H5" s="4" t="s">
        <v>4</v>
      </c>
      <c r="I5" s="4" t="s">
        <v>248</v>
      </c>
      <c r="J5" s="4" t="s">
        <v>4</v>
      </c>
      <c r="K5" s="4" t="s">
        <v>248</v>
      </c>
      <c r="L5" s="4" t="s">
        <v>4</v>
      </c>
      <c r="M5" s="4" t="s">
        <v>248</v>
      </c>
      <c r="N5" s="4" t="s">
        <v>4</v>
      </c>
      <c r="O5" s="4" t="s">
        <v>248</v>
      </c>
      <c r="P5" s="4" t="s">
        <v>4</v>
      </c>
      <c r="Q5" s="4" t="s">
        <v>248</v>
      </c>
      <c r="R5" s="4" t="s">
        <v>4</v>
      </c>
      <c r="S5" s="4" t="s">
        <v>248</v>
      </c>
      <c r="T5" s="4" t="s">
        <v>4</v>
      </c>
      <c r="U5" s="4" t="s">
        <v>248</v>
      </c>
      <c r="V5" s="4" t="s">
        <v>4</v>
      </c>
      <c r="W5" s="4" t="s">
        <v>248</v>
      </c>
      <c r="X5" s="4" t="s">
        <v>4</v>
      </c>
      <c r="Y5" s="4" t="s">
        <v>248</v>
      </c>
      <c r="Z5" s="4" t="s">
        <v>4</v>
      </c>
      <c r="AA5" s="4" t="s">
        <v>248</v>
      </c>
      <c r="AB5" s="4" t="s">
        <v>4</v>
      </c>
      <c r="AC5" s="4" t="s">
        <v>248</v>
      </c>
      <c r="AD5" s="4" t="s">
        <v>4</v>
      </c>
      <c r="AE5" s="75"/>
      <c r="AF5" s="72"/>
    </row>
    <row r="6" spans="1:34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</row>
    <row r="7" spans="1:34" s="10" customFormat="1" ht="15.75" x14ac:dyDescent="0.25">
      <c r="A7" s="51" t="s">
        <v>73</v>
      </c>
      <c r="B7" s="7" t="s">
        <v>74</v>
      </c>
      <c r="C7" s="8">
        <f t="shared" ref="C7:AF7" si="0">SUM(C8:C17)</f>
        <v>14480041.9</v>
      </c>
      <c r="D7" s="8">
        <f t="shared" si="0"/>
        <v>-736395.20000000147</v>
      </c>
      <c r="E7" s="8">
        <f t="shared" si="0"/>
        <v>13743646.699999999</v>
      </c>
      <c r="F7" s="8">
        <f t="shared" si="0"/>
        <v>-4250707.8999999985</v>
      </c>
      <c r="G7" s="8">
        <f t="shared" si="0"/>
        <v>9492938.8000000007</v>
      </c>
      <c r="H7" s="8"/>
      <c r="I7" s="8">
        <f t="shared" si="0"/>
        <v>9492938.8000000007</v>
      </c>
      <c r="J7" s="8">
        <f t="shared" si="0"/>
        <v>-279951.40000000037</v>
      </c>
      <c r="K7" s="8">
        <f t="shared" si="0"/>
        <v>9212987.4000000004</v>
      </c>
      <c r="L7" s="8">
        <f t="shared" si="0"/>
        <v>141117.49999999953</v>
      </c>
      <c r="M7" s="8">
        <f t="shared" si="0"/>
        <v>9354104.9000000004</v>
      </c>
      <c r="N7" s="8">
        <f t="shared" si="0"/>
        <v>44838.400000000023</v>
      </c>
      <c r="O7" s="8">
        <f t="shared" si="0"/>
        <v>9398943.2999999989</v>
      </c>
      <c r="P7" s="8">
        <f t="shared" si="0"/>
        <v>-116763.69999999925</v>
      </c>
      <c r="Q7" s="8">
        <f t="shared" si="0"/>
        <v>9282179.5999999996</v>
      </c>
      <c r="R7" s="8">
        <f t="shared" si="0"/>
        <v>-46515.100000000559</v>
      </c>
      <c r="S7" s="8">
        <f t="shared" si="0"/>
        <v>9235664.5</v>
      </c>
      <c r="T7" s="8">
        <f t="shared" si="0"/>
        <v>438229.80000000063</v>
      </c>
      <c r="U7" s="8">
        <f t="shared" si="0"/>
        <v>9673894.3000000007</v>
      </c>
      <c r="V7" s="8">
        <f t="shared" si="0"/>
        <v>2452763</v>
      </c>
      <c r="W7" s="8">
        <f t="shared" si="0"/>
        <v>12126657.300000001</v>
      </c>
      <c r="X7" s="8">
        <f t="shared" si="0"/>
        <v>-85559.100000000035</v>
      </c>
      <c r="Y7" s="8">
        <f t="shared" si="0"/>
        <v>12041098.199999999</v>
      </c>
      <c r="Z7" s="8">
        <f t="shared" si="0"/>
        <v>289321.19999999949</v>
      </c>
      <c r="AA7" s="8">
        <f t="shared" si="0"/>
        <v>12330419.4</v>
      </c>
      <c r="AB7" s="8">
        <f t="shared" si="0"/>
        <v>-74413.400000000373</v>
      </c>
      <c r="AC7" s="8">
        <f t="shared" si="0"/>
        <v>12256006</v>
      </c>
      <c r="AD7" s="8">
        <f t="shared" si="0"/>
        <v>-1094090.4999999998</v>
      </c>
      <c r="AE7" s="8">
        <f>SUM(AE8:AE17)</f>
        <v>11161915.5</v>
      </c>
      <c r="AF7" s="57">
        <f t="shared" si="0"/>
        <v>-3318126.4000000004</v>
      </c>
      <c r="AG7" s="45"/>
      <c r="AH7" s="9"/>
    </row>
    <row r="8" spans="1:34" ht="43.5" customHeight="1" x14ac:dyDescent="0.25">
      <c r="A8" s="52" t="s">
        <v>75</v>
      </c>
      <c r="B8" s="42" t="s">
        <v>76</v>
      </c>
      <c r="C8" s="13">
        <v>262608.3</v>
      </c>
      <c r="D8" s="43">
        <v>-2427.2999999999884</v>
      </c>
      <c r="E8" s="56">
        <f>C8+D8</f>
        <v>260181</v>
      </c>
      <c r="F8" s="43"/>
      <c r="G8" s="56">
        <f>E8+F8</f>
        <v>260181</v>
      </c>
      <c r="H8" s="43"/>
      <c r="I8" s="56">
        <f>G8+H8</f>
        <v>260181</v>
      </c>
      <c r="J8" s="43"/>
      <c r="K8" s="56">
        <f>I8+J8</f>
        <v>260181</v>
      </c>
      <c r="L8" s="43"/>
      <c r="M8" s="56">
        <f>K8+L8</f>
        <v>260181</v>
      </c>
      <c r="N8" s="43"/>
      <c r="O8" s="56">
        <f>M8+N8</f>
        <v>260181</v>
      </c>
      <c r="P8" s="43"/>
      <c r="Q8" s="56">
        <f>O8+P8</f>
        <v>260181</v>
      </c>
      <c r="R8" s="43"/>
      <c r="S8" s="56">
        <f>Q8+R8</f>
        <v>260181</v>
      </c>
      <c r="T8" s="43"/>
      <c r="U8" s="56">
        <f>S8+T8</f>
        <v>260181</v>
      </c>
      <c r="V8" s="43">
        <v>8429</v>
      </c>
      <c r="W8" s="56">
        <f>U8+V8</f>
        <v>268610</v>
      </c>
      <c r="X8" s="43"/>
      <c r="Y8" s="56">
        <f>W8+X8</f>
        <v>268610</v>
      </c>
      <c r="Z8" s="43"/>
      <c r="AA8" s="56">
        <f>Y8+Z8</f>
        <v>268610</v>
      </c>
      <c r="AB8" s="43"/>
      <c r="AC8" s="56">
        <f>AA8+AB8</f>
        <v>268610</v>
      </c>
      <c r="AD8" s="43">
        <v>-498.40000000002328</v>
      </c>
      <c r="AE8" s="44">
        <f>AC8+AD8</f>
        <v>268111.59999999998</v>
      </c>
      <c r="AF8" s="15">
        <f>D8+V8+AD8</f>
        <v>5503.2999999999884</v>
      </c>
      <c r="AG8" s="45"/>
      <c r="AH8" s="9"/>
    </row>
    <row r="9" spans="1:34" ht="48.75" customHeight="1" x14ac:dyDescent="0.25">
      <c r="A9" s="52" t="s">
        <v>77</v>
      </c>
      <c r="B9" s="42" t="s">
        <v>78</v>
      </c>
      <c r="C9" s="13">
        <v>362783.7</v>
      </c>
      <c r="D9" s="43">
        <v>-3863</v>
      </c>
      <c r="E9" s="56">
        <f t="shared" ref="E9:E74" si="1">C9+D9</f>
        <v>358920.7</v>
      </c>
      <c r="F9" s="43"/>
      <c r="G9" s="56">
        <f t="shared" ref="G9:G74" si="2">E9+F9</f>
        <v>358920.7</v>
      </c>
      <c r="H9" s="43"/>
      <c r="I9" s="56">
        <f t="shared" ref="I9:I74" si="3">G9+H9</f>
        <v>358920.7</v>
      </c>
      <c r="J9" s="43"/>
      <c r="K9" s="56">
        <f t="shared" ref="K9:K74" si="4">I9+J9</f>
        <v>358920.7</v>
      </c>
      <c r="L9" s="43"/>
      <c r="M9" s="56">
        <f t="shared" ref="M9:M74" si="5">K9+L9</f>
        <v>358920.7</v>
      </c>
      <c r="N9" s="43"/>
      <c r="O9" s="56">
        <f t="shared" ref="O9:O74" si="6">M9+N9</f>
        <v>358920.7</v>
      </c>
      <c r="P9" s="43"/>
      <c r="Q9" s="56">
        <f t="shared" ref="Q9:Q74" si="7">O9+P9</f>
        <v>358920.7</v>
      </c>
      <c r="R9" s="43"/>
      <c r="S9" s="56">
        <f t="shared" ref="S9:S74" si="8">Q9+R9</f>
        <v>358920.7</v>
      </c>
      <c r="T9" s="43">
        <v>6783.7000000000116</v>
      </c>
      <c r="U9" s="56">
        <f t="shared" ref="U9:U72" si="9">S9+T9</f>
        <v>365704.4</v>
      </c>
      <c r="V9" s="43"/>
      <c r="W9" s="56">
        <f t="shared" ref="W9:W72" si="10">U9+V9</f>
        <v>365704.4</v>
      </c>
      <c r="X9" s="43"/>
      <c r="Y9" s="56">
        <f t="shared" ref="Y9:Y72" si="11">W9+X9</f>
        <v>365704.4</v>
      </c>
      <c r="Z9" s="43"/>
      <c r="AA9" s="56">
        <f t="shared" ref="AA9:AA72" si="12">Y9+Z9</f>
        <v>365704.4</v>
      </c>
      <c r="AB9" s="43"/>
      <c r="AC9" s="56">
        <f t="shared" ref="AC9:AC72" si="13">AA9+AB9</f>
        <v>365704.4</v>
      </c>
      <c r="AD9" s="43">
        <v>-9912.8000000000466</v>
      </c>
      <c r="AE9" s="44">
        <f t="shared" ref="AE9:AE17" si="14">AC9+AD9</f>
        <v>355791.6</v>
      </c>
      <c r="AF9" s="15">
        <f>D9+T9+AD9</f>
        <v>-6992.1000000000349</v>
      </c>
      <c r="AG9" s="45"/>
      <c r="AH9" s="9"/>
    </row>
    <row r="10" spans="1:34" ht="51" customHeight="1" x14ac:dyDescent="0.25">
      <c r="A10" s="52" t="s">
        <v>79</v>
      </c>
      <c r="B10" s="42" t="s">
        <v>80</v>
      </c>
      <c r="C10" s="13">
        <v>133601.29999999999</v>
      </c>
      <c r="D10" s="43">
        <v>-1152</v>
      </c>
      <c r="E10" s="56">
        <f t="shared" si="1"/>
        <v>132449.29999999999</v>
      </c>
      <c r="F10" s="43"/>
      <c r="G10" s="56">
        <f t="shared" si="2"/>
        <v>132449.29999999999</v>
      </c>
      <c r="H10" s="43"/>
      <c r="I10" s="56">
        <f t="shared" si="3"/>
        <v>132449.29999999999</v>
      </c>
      <c r="J10" s="43"/>
      <c r="K10" s="56">
        <f t="shared" si="4"/>
        <v>132449.29999999999</v>
      </c>
      <c r="L10" s="43"/>
      <c r="M10" s="56">
        <f t="shared" si="5"/>
        <v>132449.29999999999</v>
      </c>
      <c r="N10" s="43"/>
      <c r="O10" s="56">
        <f t="shared" si="6"/>
        <v>132449.29999999999</v>
      </c>
      <c r="P10" s="43"/>
      <c r="Q10" s="56">
        <f t="shared" si="7"/>
        <v>132449.29999999999</v>
      </c>
      <c r="R10" s="43"/>
      <c r="S10" s="56">
        <f t="shared" si="8"/>
        <v>132449.29999999999</v>
      </c>
      <c r="T10" s="43"/>
      <c r="U10" s="56">
        <f t="shared" si="9"/>
        <v>132449.29999999999</v>
      </c>
      <c r="V10" s="43"/>
      <c r="W10" s="56">
        <f t="shared" si="10"/>
        <v>132449.29999999999</v>
      </c>
      <c r="X10" s="43"/>
      <c r="Y10" s="56">
        <f t="shared" si="11"/>
        <v>132449.29999999999</v>
      </c>
      <c r="Z10" s="43"/>
      <c r="AA10" s="56">
        <f t="shared" si="12"/>
        <v>132449.29999999999</v>
      </c>
      <c r="AB10" s="43"/>
      <c r="AC10" s="56">
        <f t="shared" si="13"/>
        <v>132449.29999999999</v>
      </c>
      <c r="AD10" s="43">
        <v>-315.39999999999418</v>
      </c>
      <c r="AE10" s="44">
        <f t="shared" si="14"/>
        <v>132133.9</v>
      </c>
      <c r="AF10" s="15">
        <f>D10+AD10</f>
        <v>-1467.3999999999942</v>
      </c>
      <c r="AG10" s="45"/>
      <c r="AH10" s="9"/>
    </row>
    <row r="11" spans="1:34" ht="17.25" customHeight="1" x14ac:dyDescent="0.25">
      <c r="A11" s="52" t="s">
        <v>81</v>
      </c>
      <c r="B11" s="42" t="s">
        <v>82</v>
      </c>
      <c r="C11" s="13">
        <v>629648.80000000005</v>
      </c>
      <c r="D11" s="43">
        <v>-2411.9000000000233</v>
      </c>
      <c r="E11" s="56">
        <f t="shared" si="1"/>
        <v>627236.9</v>
      </c>
      <c r="F11" s="43">
        <v>12384</v>
      </c>
      <c r="G11" s="56">
        <f t="shared" si="2"/>
        <v>639620.9</v>
      </c>
      <c r="H11" s="43"/>
      <c r="I11" s="56">
        <f t="shared" si="3"/>
        <v>639620.9</v>
      </c>
      <c r="J11" s="43">
        <v>10000</v>
      </c>
      <c r="K11" s="56">
        <f t="shared" si="4"/>
        <v>649620.9</v>
      </c>
      <c r="L11" s="43">
        <v>8237.1999999999534</v>
      </c>
      <c r="M11" s="56">
        <f t="shared" si="5"/>
        <v>657858.1</v>
      </c>
      <c r="N11" s="43">
        <v>1058.4000000000233</v>
      </c>
      <c r="O11" s="56">
        <f t="shared" si="6"/>
        <v>658916.5</v>
      </c>
      <c r="P11" s="43"/>
      <c r="Q11" s="56">
        <f t="shared" si="7"/>
        <v>658916.5</v>
      </c>
      <c r="R11" s="43"/>
      <c r="S11" s="56">
        <f t="shared" si="8"/>
        <v>658916.5</v>
      </c>
      <c r="T11" s="43">
        <v>34991.099999999977</v>
      </c>
      <c r="U11" s="56">
        <f t="shared" si="9"/>
        <v>693907.6</v>
      </c>
      <c r="V11" s="43">
        <v>4000</v>
      </c>
      <c r="W11" s="56">
        <f t="shared" si="10"/>
        <v>697907.6</v>
      </c>
      <c r="X11" s="43"/>
      <c r="Y11" s="56">
        <f t="shared" si="11"/>
        <v>697907.6</v>
      </c>
      <c r="Z11" s="43">
        <v>24945.5</v>
      </c>
      <c r="AA11" s="56">
        <f t="shared" si="12"/>
        <v>722853.1</v>
      </c>
      <c r="AB11" s="43"/>
      <c r="AC11" s="56">
        <f t="shared" si="13"/>
        <v>722853.1</v>
      </c>
      <c r="AD11" s="43">
        <v>-2133</v>
      </c>
      <c r="AE11" s="44">
        <f t="shared" si="14"/>
        <v>720720.1</v>
      </c>
      <c r="AF11" s="15">
        <f>D11+F11+J11+L11+N11+T11+V11+Z11+AD11</f>
        <v>91071.29999999993</v>
      </c>
      <c r="AG11" s="45"/>
      <c r="AH11" s="9"/>
    </row>
    <row r="12" spans="1:34" ht="38.25" x14ac:dyDescent="0.25">
      <c r="A12" s="52" t="s">
        <v>83</v>
      </c>
      <c r="B12" s="42" t="s">
        <v>84</v>
      </c>
      <c r="C12" s="13">
        <v>333183.59999999998</v>
      </c>
      <c r="D12" s="43">
        <v>-2293.1999999999534</v>
      </c>
      <c r="E12" s="56">
        <f t="shared" si="1"/>
        <v>330890.40000000002</v>
      </c>
      <c r="F12" s="43">
        <v>-240.10000000003492</v>
      </c>
      <c r="G12" s="56">
        <f t="shared" si="2"/>
        <v>330650.3</v>
      </c>
      <c r="H12" s="43"/>
      <c r="I12" s="56">
        <f t="shared" si="3"/>
        <v>330650.3</v>
      </c>
      <c r="J12" s="43"/>
      <c r="K12" s="56">
        <f t="shared" si="4"/>
        <v>330650.3</v>
      </c>
      <c r="L12" s="43"/>
      <c r="M12" s="56">
        <f t="shared" si="5"/>
        <v>330650.3</v>
      </c>
      <c r="N12" s="43"/>
      <c r="O12" s="56">
        <f t="shared" si="6"/>
        <v>330650.3</v>
      </c>
      <c r="P12" s="43"/>
      <c r="Q12" s="56">
        <f t="shared" si="7"/>
        <v>330650.3</v>
      </c>
      <c r="R12" s="43"/>
      <c r="S12" s="56">
        <f t="shared" si="8"/>
        <v>330650.3</v>
      </c>
      <c r="T12" s="43">
        <v>3192.6000000000349</v>
      </c>
      <c r="U12" s="56">
        <f t="shared" si="9"/>
        <v>333842.90000000002</v>
      </c>
      <c r="V12" s="43"/>
      <c r="W12" s="56">
        <f t="shared" si="10"/>
        <v>333842.90000000002</v>
      </c>
      <c r="X12" s="43">
        <v>27.899999999965075</v>
      </c>
      <c r="Y12" s="56">
        <f t="shared" si="11"/>
        <v>333870.8</v>
      </c>
      <c r="Z12" s="43"/>
      <c r="AA12" s="56">
        <f t="shared" si="12"/>
        <v>333870.8</v>
      </c>
      <c r="AB12" s="43">
        <v>-2000</v>
      </c>
      <c r="AC12" s="56">
        <f t="shared" si="13"/>
        <v>331870.8</v>
      </c>
      <c r="AD12" s="43">
        <v>-9164.8999999999651</v>
      </c>
      <c r="AE12" s="44">
        <f t="shared" si="14"/>
        <v>322705.90000000002</v>
      </c>
      <c r="AF12" s="15">
        <f>D12+F12+T12+X12+AB12+AD12</f>
        <v>-10477.699999999953</v>
      </c>
      <c r="AG12" s="45"/>
      <c r="AH12" s="9"/>
    </row>
    <row r="13" spans="1:34" ht="17.25" customHeight="1" x14ac:dyDescent="0.25">
      <c r="A13" s="52" t="s">
        <v>85</v>
      </c>
      <c r="B13" s="42" t="s">
        <v>86</v>
      </c>
      <c r="C13" s="13">
        <v>242638</v>
      </c>
      <c r="D13" s="43">
        <v>-1422.2000000000116</v>
      </c>
      <c r="E13" s="56">
        <f t="shared" si="1"/>
        <v>241215.8</v>
      </c>
      <c r="F13" s="43"/>
      <c r="G13" s="56">
        <f t="shared" si="2"/>
        <v>241215.8</v>
      </c>
      <c r="H13" s="43"/>
      <c r="I13" s="56">
        <f t="shared" si="3"/>
        <v>241215.8</v>
      </c>
      <c r="J13" s="43"/>
      <c r="K13" s="56">
        <f t="shared" si="4"/>
        <v>241215.8</v>
      </c>
      <c r="L13" s="43"/>
      <c r="M13" s="56">
        <f t="shared" si="5"/>
        <v>241215.8</v>
      </c>
      <c r="N13" s="43"/>
      <c r="O13" s="56">
        <f t="shared" si="6"/>
        <v>241215.8</v>
      </c>
      <c r="P13" s="43"/>
      <c r="Q13" s="56">
        <f t="shared" si="7"/>
        <v>241215.8</v>
      </c>
      <c r="R13" s="43"/>
      <c r="S13" s="56">
        <f t="shared" si="8"/>
        <v>241215.8</v>
      </c>
      <c r="T13" s="43"/>
      <c r="U13" s="56">
        <f t="shared" si="9"/>
        <v>241215.8</v>
      </c>
      <c r="V13" s="43"/>
      <c r="W13" s="56">
        <f t="shared" si="10"/>
        <v>241215.8</v>
      </c>
      <c r="X13" s="43"/>
      <c r="Y13" s="56">
        <f t="shared" si="11"/>
        <v>241215.8</v>
      </c>
      <c r="Z13" s="43">
        <v>-1858.6999999999825</v>
      </c>
      <c r="AA13" s="56">
        <f t="shared" si="12"/>
        <v>239357.1</v>
      </c>
      <c r="AB13" s="43"/>
      <c r="AC13" s="56">
        <f t="shared" si="13"/>
        <v>239357.1</v>
      </c>
      <c r="AD13" s="43">
        <v>-676.80000000001746</v>
      </c>
      <c r="AE13" s="44">
        <f t="shared" si="14"/>
        <v>238680.3</v>
      </c>
      <c r="AF13" s="15">
        <f>D13+Z13+AD13</f>
        <v>-3957.7000000000116</v>
      </c>
      <c r="AG13" s="45"/>
      <c r="AH13" s="9"/>
    </row>
    <row r="14" spans="1:34" ht="29.25" customHeight="1" x14ac:dyDescent="0.25">
      <c r="A14" s="52" t="s">
        <v>243</v>
      </c>
      <c r="B14" s="42" t="s">
        <v>244</v>
      </c>
      <c r="C14" s="13"/>
      <c r="D14" s="43"/>
      <c r="E14" s="56"/>
      <c r="F14" s="43"/>
      <c r="G14" s="56"/>
      <c r="H14" s="43"/>
      <c r="I14" s="56"/>
      <c r="J14" s="43"/>
      <c r="K14" s="56"/>
      <c r="L14" s="43"/>
      <c r="M14" s="56"/>
      <c r="N14" s="43"/>
      <c r="O14" s="56"/>
      <c r="P14" s="43"/>
      <c r="Q14" s="56"/>
      <c r="R14" s="43"/>
      <c r="S14" s="56"/>
      <c r="T14" s="43"/>
      <c r="U14" s="56"/>
      <c r="V14" s="43"/>
      <c r="W14" s="56"/>
      <c r="X14" s="43"/>
      <c r="Y14" s="56"/>
      <c r="Z14" s="43"/>
      <c r="AA14" s="56"/>
      <c r="AB14" s="43"/>
      <c r="AC14" s="56"/>
      <c r="AD14" s="43"/>
      <c r="AE14" s="44"/>
      <c r="AF14" s="15"/>
      <c r="AG14" s="45"/>
      <c r="AH14" s="9"/>
    </row>
    <row r="15" spans="1:34" ht="16.5" customHeight="1" x14ac:dyDescent="0.25">
      <c r="A15" s="52" t="s">
        <v>87</v>
      </c>
      <c r="B15" s="42" t="s">
        <v>88</v>
      </c>
      <c r="C15" s="13">
        <v>500000</v>
      </c>
      <c r="D15" s="43"/>
      <c r="E15" s="56">
        <f t="shared" si="1"/>
        <v>500000</v>
      </c>
      <c r="F15" s="43">
        <v>300000</v>
      </c>
      <c r="G15" s="56">
        <f t="shared" si="2"/>
        <v>800000</v>
      </c>
      <c r="H15" s="43"/>
      <c r="I15" s="56">
        <f t="shared" si="3"/>
        <v>800000</v>
      </c>
      <c r="J15" s="43"/>
      <c r="K15" s="56">
        <f t="shared" si="4"/>
        <v>800000</v>
      </c>
      <c r="L15" s="43">
        <v>497794.69999999995</v>
      </c>
      <c r="M15" s="56">
        <f t="shared" si="5"/>
        <v>1297794.7</v>
      </c>
      <c r="N15" s="43"/>
      <c r="O15" s="56">
        <f t="shared" si="6"/>
        <v>1297794.7</v>
      </c>
      <c r="P15" s="43">
        <v>400000</v>
      </c>
      <c r="Q15" s="56">
        <f t="shared" si="7"/>
        <v>1697794.7</v>
      </c>
      <c r="R15" s="43"/>
      <c r="S15" s="56">
        <f t="shared" si="8"/>
        <v>1697794.7</v>
      </c>
      <c r="T15" s="43">
        <v>499322.00000000023</v>
      </c>
      <c r="U15" s="56">
        <f t="shared" si="9"/>
        <v>2197116.7000000002</v>
      </c>
      <c r="V15" s="43">
        <v>2499930</v>
      </c>
      <c r="W15" s="56">
        <f t="shared" si="10"/>
        <v>4697046.7</v>
      </c>
      <c r="X15" s="43"/>
      <c r="Y15" s="56">
        <f t="shared" si="11"/>
        <v>4697046.7</v>
      </c>
      <c r="Z15" s="43">
        <v>499814</v>
      </c>
      <c r="AA15" s="56">
        <f t="shared" si="12"/>
        <v>5196860.7</v>
      </c>
      <c r="AB15" s="43">
        <v>-27.400000000372529</v>
      </c>
      <c r="AC15" s="56">
        <f t="shared" si="13"/>
        <v>5196833.3</v>
      </c>
      <c r="AD15" s="43"/>
      <c r="AE15" s="44">
        <f t="shared" si="14"/>
        <v>5196833.3</v>
      </c>
      <c r="AF15" s="15">
        <f>F15+L15+P15+T15+V15+Z15+AB15</f>
        <v>4696833.3</v>
      </c>
      <c r="AG15" s="45"/>
      <c r="AH15" s="9"/>
    </row>
    <row r="16" spans="1:34" ht="26.25" x14ac:dyDescent="0.25">
      <c r="A16" s="52" t="s">
        <v>89</v>
      </c>
      <c r="B16" s="46" t="s">
        <v>90</v>
      </c>
      <c r="C16" s="13">
        <v>204.4</v>
      </c>
      <c r="D16" s="43"/>
      <c r="E16" s="56">
        <f t="shared" si="1"/>
        <v>204.4</v>
      </c>
      <c r="F16" s="43"/>
      <c r="G16" s="56">
        <f t="shared" si="2"/>
        <v>204.4</v>
      </c>
      <c r="H16" s="43"/>
      <c r="I16" s="56">
        <f t="shared" si="3"/>
        <v>204.4</v>
      </c>
      <c r="J16" s="43"/>
      <c r="K16" s="56">
        <f t="shared" si="4"/>
        <v>204.4</v>
      </c>
      <c r="L16" s="43"/>
      <c r="M16" s="56">
        <f t="shared" si="5"/>
        <v>204.4</v>
      </c>
      <c r="N16" s="43"/>
      <c r="O16" s="56">
        <f t="shared" si="6"/>
        <v>204.4</v>
      </c>
      <c r="P16" s="43"/>
      <c r="Q16" s="56">
        <f t="shared" si="7"/>
        <v>204.4</v>
      </c>
      <c r="R16" s="43"/>
      <c r="S16" s="56">
        <f t="shared" si="8"/>
        <v>204.4</v>
      </c>
      <c r="T16" s="43"/>
      <c r="U16" s="56">
        <f t="shared" si="9"/>
        <v>204.4</v>
      </c>
      <c r="V16" s="43"/>
      <c r="W16" s="56">
        <f t="shared" si="10"/>
        <v>204.4</v>
      </c>
      <c r="X16" s="43"/>
      <c r="Y16" s="56">
        <f t="shared" si="11"/>
        <v>204.4</v>
      </c>
      <c r="Z16" s="43"/>
      <c r="AA16" s="56">
        <f t="shared" si="12"/>
        <v>204.4</v>
      </c>
      <c r="AB16" s="43"/>
      <c r="AC16" s="56">
        <f t="shared" si="13"/>
        <v>204.4</v>
      </c>
      <c r="AD16" s="43"/>
      <c r="AE16" s="44">
        <f t="shared" si="14"/>
        <v>204.4</v>
      </c>
      <c r="AF16" s="15"/>
      <c r="AG16" s="45"/>
      <c r="AH16" s="9"/>
    </row>
    <row r="17" spans="1:34" ht="19.5" customHeight="1" x14ac:dyDescent="0.25">
      <c r="A17" s="52" t="s">
        <v>91</v>
      </c>
      <c r="B17" s="42" t="s">
        <v>92</v>
      </c>
      <c r="C17" s="13">
        <v>12015373.800000001</v>
      </c>
      <c r="D17" s="43">
        <v>-722825.60000000149</v>
      </c>
      <c r="E17" s="56">
        <f t="shared" si="1"/>
        <v>11292548.199999999</v>
      </c>
      <c r="F17" s="43">
        <v>-4562851.7999999989</v>
      </c>
      <c r="G17" s="56">
        <f t="shared" si="2"/>
        <v>6729696.4000000004</v>
      </c>
      <c r="H17" s="43"/>
      <c r="I17" s="56">
        <f t="shared" si="3"/>
        <v>6729696.4000000004</v>
      </c>
      <c r="J17" s="43">
        <v>-289951.40000000037</v>
      </c>
      <c r="K17" s="56">
        <f t="shared" si="4"/>
        <v>6439745</v>
      </c>
      <c r="L17" s="43">
        <v>-364914.40000000037</v>
      </c>
      <c r="M17" s="56">
        <f t="shared" si="5"/>
        <v>6074830.5999999996</v>
      </c>
      <c r="N17" s="43">
        <v>43780</v>
      </c>
      <c r="O17" s="56">
        <f t="shared" si="6"/>
        <v>6118610.5999999996</v>
      </c>
      <c r="P17" s="43">
        <v>-516763.69999999925</v>
      </c>
      <c r="Q17" s="56">
        <f t="shared" si="7"/>
        <v>5601846.9000000004</v>
      </c>
      <c r="R17" s="43">
        <v>-46515.100000000559</v>
      </c>
      <c r="S17" s="56">
        <f t="shared" si="8"/>
        <v>5555331.7999999998</v>
      </c>
      <c r="T17" s="43">
        <v>-106059.59999999963</v>
      </c>
      <c r="U17" s="56">
        <f t="shared" si="9"/>
        <v>5449272.2000000002</v>
      </c>
      <c r="V17" s="43">
        <v>-59596</v>
      </c>
      <c r="W17" s="56">
        <f t="shared" si="10"/>
        <v>5389676.2000000002</v>
      </c>
      <c r="X17" s="43">
        <v>-85587</v>
      </c>
      <c r="Y17" s="56">
        <f t="shared" si="11"/>
        <v>5304089.2</v>
      </c>
      <c r="Z17" s="43">
        <v>-233579.60000000056</v>
      </c>
      <c r="AA17" s="56">
        <f t="shared" si="12"/>
        <v>5070509.5999999996</v>
      </c>
      <c r="AB17" s="43">
        <v>-72386</v>
      </c>
      <c r="AC17" s="56">
        <f t="shared" si="13"/>
        <v>4998123.5999999996</v>
      </c>
      <c r="AD17" s="43">
        <v>-1071389.1999999997</v>
      </c>
      <c r="AE17" s="44">
        <f t="shared" si="14"/>
        <v>3926734.4</v>
      </c>
      <c r="AF17" s="15">
        <f>D17+F17+J17+L17+N17+P17+R17+T17+V17+X17+Z17+AB17+AD17</f>
        <v>-8088639.4000000004</v>
      </c>
      <c r="AG17" s="45"/>
      <c r="AH17" s="9"/>
    </row>
    <row r="18" spans="1:34" s="10" customFormat="1" ht="17.25" customHeight="1" x14ac:dyDescent="0.25">
      <c r="A18" s="53" t="s">
        <v>93</v>
      </c>
      <c r="B18" s="23" t="s">
        <v>94</v>
      </c>
      <c r="C18" s="24">
        <f>SUM(C19:C20)</f>
        <v>68790</v>
      </c>
      <c r="D18" s="24"/>
      <c r="E18" s="24">
        <f t="shared" ref="E18:AE18" si="15">SUM(E19:E20)</f>
        <v>68790</v>
      </c>
      <c r="F18" s="24"/>
      <c r="G18" s="24">
        <f t="shared" si="15"/>
        <v>68790</v>
      </c>
      <c r="H18" s="24"/>
      <c r="I18" s="24">
        <f t="shared" si="15"/>
        <v>68790</v>
      </c>
      <c r="J18" s="24"/>
      <c r="K18" s="24">
        <f t="shared" si="15"/>
        <v>68790</v>
      </c>
      <c r="L18" s="24"/>
      <c r="M18" s="24">
        <f t="shared" si="15"/>
        <v>68790</v>
      </c>
      <c r="N18" s="24"/>
      <c r="O18" s="24">
        <f t="shared" si="15"/>
        <v>68790</v>
      </c>
      <c r="P18" s="24"/>
      <c r="Q18" s="24">
        <f t="shared" si="15"/>
        <v>68790</v>
      </c>
      <c r="R18" s="24"/>
      <c r="S18" s="24">
        <f t="shared" si="15"/>
        <v>68790</v>
      </c>
      <c r="T18" s="24"/>
      <c r="U18" s="24">
        <f t="shared" si="15"/>
        <v>68790</v>
      </c>
      <c r="V18" s="24">
        <f t="shared" si="15"/>
        <v>91.3</v>
      </c>
      <c r="W18" s="24">
        <f t="shared" si="15"/>
        <v>68881.3</v>
      </c>
      <c r="X18" s="24"/>
      <c r="Y18" s="24">
        <f t="shared" si="15"/>
        <v>68881.3</v>
      </c>
      <c r="Z18" s="24"/>
      <c r="AA18" s="24">
        <f t="shared" si="15"/>
        <v>68881.3</v>
      </c>
      <c r="AB18" s="24"/>
      <c r="AC18" s="24">
        <f t="shared" si="15"/>
        <v>68881.3</v>
      </c>
      <c r="AD18" s="24">
        <f t="shared" si="15"/>
        <v>-124.4</v>
      </c>
      <c r="AE18" s="24">
        <f t="shared" si="15"/>
        <v>68756.900000000009</v>
      </c>
      <c r="AF18" s="58">
        <f>AF19+AF20</f>
        <v>-33.100000000000009</v>
      </c>
      <c r="AG18" s="45"/>
      <c r="AH18" s="9"/>
    </row>
    <row r="19" spans="1:34" ht="16.5" customHeight="1" x14ac:dyDescent="0.25">
      <c r="A19" s="52" t="s">
        <v>95</v>
      </c>
      <c r="B19" s="42" t="s">
        <v>96</v>
      </c>
      <c r="C19" s="13">
        <v>68590</v>
      </c>
      <c r="D19" s="50"/>
      <c r="E19" s="56">
        <f t="shared" si="1"/>
        <v>68590</v>
      </c>
      <c r="F19" s="50"/>
      <c r="G19" s="56">
        <f t="shared" si="2"/>
        <v>68590</v>
      </c>
      <c r="H19" s="50"/>
      <c r="I19" s="56">
        <f t="shared" si="3"/>
        <v>68590</v>
      </c>
      <c r="J19" s="50"/>
      <c r="K19" s="56">
        <f t="shared" si="4"/>
        <v>68590</v>
      </c>
      <c r="L19" s="50"/>
      <c r="M19" s="56">
        <f t="shared" si="5"/>
        <v>68590</v>
      </c>
      <c r="N19" s="50"/>
      <c r="O19" s="56">
        <f t="shared" si="6"/>
        <v>68590</v>
      </c>
      <c r="P19" s="50"/>
      <c r="Q19" s="56">
        <f t="shared" si="7"/>
        <v>68590</v>
      </c>
      <c r="R19" s="50"/>
      <c r="S19" s="56">
        <f t="shared" si="8"/>
        <v>68590</v>
      </c>
      <c r="T19" s="50"/>
      <c r="U19" s="56">
        <f t="shared" si="9"/>
        <v>68590</v>
      </c>
      <c r="V19" s="43">
        <v>91.3</v>
      </c>
      <c r="W19" s="56">
        <f t="shared" si="10"/>
        <v>68681.3</v>
      </c>
      <c r="X19" s="43"/>
      <c r="Y19" s="56">
        <f t="shared" si="11"/>
        <v>68681.3</v>
      </c>
      <c r="Z19" s="43"/>
      <c r="AA19" s="56">
        <f t="shared" si="12"/>
        <v>68681.3</v>
      </c>
      <c r="AB19" s="43"/>
      <c r="AC19" s="56">
        <f t="shared" si="13"/>
        <v>68681.3</v>
      </c>
      <c r="AD19" s="43"/>
      <c r="AE19" s="44">
        <f>AC19+AD19</f>
        <v>68681.3</v>
      </c>
      <c r="AF19" s="15">
        <f>V19</f>
        <v>91.3</v>
      </c>
      <c r="AG19" s="45"/>
      <c r="AH19" s="9"/>
    </row>
    <row r="20" spans="1:34" ht="18" customHeight="1" x14ac:dyDescent="0.25">
      <c r="A20" s="52" t="s">
        <v>97</v>
      </c>
      <c r="B20" s="42" t="s">
        <v>98</v>
      </c>
      <c r="C20" s="13">
        <v>200</v>
      </c>
      <c r="D20" s="50"/>
      <c r="E20" s="56">
        <f t="shared" si="1"/>
        <v>200</v>
      </c>
      <c r="F20" s="50"/>
      <c r="G20" s="56">
        <f t="shared" si="2"/>
        <v>200</v>
      </c>
      <c r="H20" s="50"/>
      <c r="I20" s="56">
        <f t="shared" si="3"/>
        <v>200</v>
      </c>
      <c r="J20" s="50"/>
      <c r="K20" s="56">
        <f t="shared" si="4"/>
        <v>200</v>
      </c>
      <c r="L20" s="50"/>
      <c r="M20" s="56">
        <f t="shared" si="5"/>
        <v>200</v>
      </c>
      <c r="N20" s="50"/>
      <c r="O20" s="56">
        <f t="shared" si="6"/>
        <v>200</v>
      </c>
      <c r="P20" s="50"/>
      <c r="Q20" s="56">
        <f t="shared" si="7"/>
        <v>200</v>
      </c>
      <c r="R20" s="50"/>
      <c r="S20" s="56">
        <f t="shared" si="8"/>
        <v>200</v>
      </c>
      <c r="T20" s="50"/>
      <c r="U20" s="56">
        <f t="shared" si="9"/>
        <v>200</v>
      </c>
      <c r="V20" s="43"/>
      <c r="W20" s="56">
        <f t="shared" si="10"/>
        <v>200</v>
      </c>
      <c r="X20" s="43"/>
      <c r="Y20" s="56">
        <f t="shared" si="11"/>
        <v>200</v>
      </c>
      <c r="Z20" s="43"/>
      <c r="AA20" s="56">
        <f t="shared" si="12"/>
        <v>200</v>
      </c>
      <c r="AB20" s="43"/>
      <c r="AC20" s="56">
        <f t="shared" si="13"/>
        <v>200</v>
      </c>
      <c r="AD20" s="43">
        <v>-124.4</v>
      </c>
      <c r="AE20" s="44">
        <f>AC20+AD20</f>
        <v>75.599999999999994</v>
      </c>
      <c r="AF20" s="15">
        <f>AD20</f>
        <v>-124.4</v>
      </c>
      <c r="AG20" s="45"/>
      <c r="AH20" s="9"/>
    </row>
    <row r="21" spans="1:34" s="10" customFormat="1" ht="29.25" customHeight="1" x14ac:dyDescent="0.25">
      <c r="A21" s="53" t="s">
        <v>99</v>
      </c>
      <c r="B21" s="23" t="s">
        <v>100</v>
      </c>
      <c r="C21" s="24">
        <f>SUM(C22:C25)</f>
        <v>916187.70000000007</v>
      </c>
      <c r="D21" s="24">
        <f t="shared" ref="D21:AD21" si="16">SUM(D22:D25)</f>
        <v>4183.0999999999767</v>
      </c>
      <c r="E21" s="24">
        <f t="shared" si="16"/>
        <v>920370.8</v>
      </c>
      <c r="F21" s="24"/>
      <c r="G21" s="24">
        <f t="shared" si="16"/>
        <v>920370.8</v>
      </c>
      <c r="H21" s="24">
        <f t="shared" si="16"/>
        <v>5970</v>
      </c>
      <c r="I21" s="24">
        <f t="shared" si="16"/>
        <v>926340.8</v>
      </c>
      <c r="J21" s="24">
        <f t="shared" si="16"/>
        <v>-100</v>
      </c>
      <c r="K21" s="24">
        <f t="shared" si="16"/>
        <v>926240.8</v>
      </c>
      <c r="L21" s="24">
        <f t="shared" si="16"/>
        <v>4579.9000000000233</v>
      </c>
      <c r="M21" s="24">
        <f t="shared" si="16"/>
        <v>930820.70000000007</v>
      </c>
      <c r="N21" s="24">
        <f t="shared" si="16"/>
        <v>35002.599999999977</v>
      </c>
      <c r="O21" s="24">
        <f t="shared" si="16"/>
        <v>965823.3</v>
      </c>
      <c r="P21" s="24">
        <f t="shared" si="16"/>
        <v>331.69999999995343</v>
      </c>
      <c r="Q21" s="24">
        <f t="shared" si="16"/>
        <v>966155</v>
      </c>
      <c r="R21" s="24"/>
      <c r="S21" s="24">
        <f t="shared" si="16"/>
        <v>966155</v>
      </c>
      <c r="T21" s="24">
        <f t="shared" si="16"/>
        <v>31829.8</v>
      </c>
      <c r="U21" s="24">
        <f t="shared" si="16"/>
        <v>997984.8</v>
      </c>
      <c r="V21" s="24">
        <f t="shared" si="16"/>
        <v>-7077.9000000000815</v>
      </c>
      <c r="W21" s="24">
        <f t="shared" si="16"/>
        <v>990906.89999999991</v>
      </c>
      <c r="X21" s="24">
        <f t="shared" si="16"/>
        <v>7891.9000000001106</v>
      </c>
      <c r="Y21" s="24">
        <f>SUM(Y22:Y25)+0.1</f>
        <v>998798.9</v>
      </c>
      <c r="Z21" s="24">
        <f t="shared" si="16"/>
        <v>5000.1000000000058</v>
      </c>
      <c r="AA21" s="24">
        <f t="shared" si="16"/>
        <v>1003798.9</v>
      </c>
      <c r="AB21" s="24"/>
      <c r="AC21" s="24">
        <f t="shared" si="16"/>
        <v>1003798.9</v>
      </c>
      <c r="AD21" s="24">
        <f t="shared" si="16"/>
        <v>4188.4999999999418</v>
      </c>
      <c r="AE21" s="24">
        <f>SUM(AE22:AE25)</f>
        <v>1007987.4</v>
      </c>
      <c r="AF21" s="58">
        <f>SUM(AF22:AF25)</f>
        <v>91799.69999999991</v>
      </c>
      <c r="AG21" s="45"/>
      <c r="AH21" s="9"/>
    </row>
    <row r="22" spans="1:34" ht="18" customHeight="1" x14ac:dyDescent="0.25">
      <c r="A22" s="52" t="s">
        <v>101</v>
      </c>
      <c r="B22" s="42" t="s">
        <v>102</v>
      </c>
      <c r="C22" s="13">
        <v>188468.5</v>
      </c>
      <c r="D22" s="43"/>
      <c r="E22" s="56">
        <f t="shared" si="1"/>
        <v>188468.5</v>
      </c>
      <c r="F22" s="43"/>
      <c r="G22" s="56">
        <f t="shared" si="2"/>
        <v>188468.5</v>
      </c>
      <c r="H22" s="43"/>
      <c r="I22" s="56">
        <f t="shared" si="3"/>
        <v>188468.5</v>
      </c>
      <c r="J22" s="43">
        <v>-100</v>
      </c>
      <c r="K22" s="56">
        <f t="shared" si="4"/>
        <v>188368.5</v>
      </c>
      <c r="L22" s="43"/>
      <c r="M22" s="56">
        <f t="shared" si="5"/>
        <v>188368.5</v>
      </c>
      <c r="N22" s="43"/>
      <c r="O22" s="56">
        <f t="shared" si="6"/>
        <v>188368.5</v>
      </c>
      <c r="P22" s="43"/>
      <c r="Q22" s="56">
        <f t="shared" si="7"/>
        <v>188368.5</v>
      </c>
      <c r="R22" s="43"/>
      <c r="S22" s="56">
        <f t="shared" si="8"/>
        <v>188368.5</v>
      </c>
      <c r="T22" s="43"/>
      <c r="U22" s="56">
        <f t="shared" si="9"/>
        <v>188368.5</v>
      </c>
      <c r="V22" s="43">
        <v>198.79999999998836</v>
      </c>
      <c r="W22" s="56">
        <f t="shared" si="10"/>
        <v>188567.3</v>
      </c>
      <c r="X22" s="43">
        <v>61.300000000017462</v>
      </c>
      <c r="Y22" s="56">
        <f t="shared" si="11"/>
        <v>188628.6</v>
      </c>
      <c r="Z22" s="43">
        <v>5000.1000000000058</v>
      </c>
      <c r="AA22" s="56">
        <f t="shared" si="12"/>
        <v>193628.7</v>
      </c>
      <c r="AB22" s="43"/>
      <c r="AC22" s="56">
        <f t="shared" si="13"/>
        <v>193628.7</v>
      </c>
      <c r="AD22" s="43"/>
      <c r="AE22" s="44">
        <f>AC22+AD22</f>
        <v>193628.7</v>
      </c>
      <c r="AF22" s="15">
        <f>J22+V22+X22+Z22</f>
        <v>5160.2000000000116</v>
      </c>
      <c r="AG22" s="45"/>
      <c r="AH22" s="9"/>
    </row>
    <row r="23" spans="1:34" ht="15.75" x14ac:dyDescent="0.25">
      <c r="A23" s="52" t="s">
        <v>103</v>
      </c>
      <c r="B23" s="42" t="s">
        <v>230</v>
      </c>
      <c r="C23" s="13">
        <v>98703.4</v>
      </c>
      <c r="D23" s="43"/>
      <c r="E23" s="56">
        <f t="shared" si="1"/>
        <v>98703.4</v>
      </c>
      <c r="F23" s="43"/>
      <c r="G23" s="56">
        <f t="shared" si="2"/>
        <v>98703.4</v>
      </c>
      <c r="H23" s="43"/>
      <c r="I23" s="56">
        <f t="shared" si="3"/>
        <v>98703.4</v>
      </c>
      <c r="J23" s="43"/>
      <c r="K23" s="56">
        <f t="shared" si="4"/>
        <v>98703.4</v>
      </c>
      <c r="L23" s="43"/>
      <c r="M23" s="56">
        <f t="shared" si="5"/>
        <v>98703.4</v>
      </c>
      <c r="N23" s="43">
        <v>1438.5</v>
      </c>
      <c r="O23" s="56">
        <f t="shared" si="6"/>
        <v>100141.9</v>
      </c>
      <c r="P23" s="43"/>
      <c r="Q23" s="56">
        <f t="shared" si="7"/>
        <v>100141.9</v>
      </c>
      <c r="R23" s="43"/>
      <c r="S23" s="56">
        <f t="shared" si="8"/>
        <v>100141.9</v>
      </c>
      <c r="T23" s="43">
        <v>22500</v>
      </c>
      <c r="U23" s="56">
        <f t="shared" si="9"/>
        <v>122641.9</v>
      </c>
      <c r="V23" s="43"/>
      <c r="W23" s="56">
        <f t="shared" si="10"/>
        <v>122641.9</v>
      </c>
      <c r="X23" s="43"/>
      <c r="Y23" s="56">
        <f t="shared" si="11"/>
        <v>122641.9</v>
      </c>
      <c r="Z23" s="43"/>
      <c r="AA23" s="56">
        <f t="shared" si="12"/>
        <v>122641.9</v>
      </c>
      <c r="AB23" s="43"/>
      <c r="AC23" s="56">
        <f t="shared" si="13"/>
        <v>122641.9</v>
      </c>
      <c r="AD23" s="43">
        <v>-9945.7999999999884</v>
      </c>
      <c r="AE23" s="44">
        <f t="shared" ref="AE23:AE25" si="17">AC23+AD23</f>
        <v>112696.1</v>
      </c>
      <c r="AF23" s="15">
        <f>N23+T23+AD23</f>
        <v>13992.700000000012</v>
      </c>
      <c r="AG23" s="45"/>
      <c r="AH23" s="9"/>
    </row>
    <row r="24" spans="1:34" ht="36" customHeight="1" x14ac:dyDescent="0.25">
      <c r="A24" s="52" t="s">
        <v>104</v>
      </c>
      <c r="B24" s="42" t="s">
        <v>231</v>
      </c>
      <c r="C24" s="13">
        <v>621515.80000000005</v>
      </c>
      <c r="D24" s="43">
        <v>4183.0999999999767</v>
      </c>
      <c r="E24" s="56">
        <f t="shared" si="1"/>
        <v>625698.9</v>
      </c>
      <c r="F24" s="43"/>
      <c r="G24" s="56">
        <f t="shared" si="2"/>
        <v>625698.9</v>
      </c>
      <c r="H24" s="43">
        <v>5970</v>
      </c>
      <c r="I24" s="56">
        <f t="shared" si="3"/>
        <v>631668.9</v>
      </c>
      <c r="J24" s="43"/>
      <c r="K24" s="56">
        <f t="shared" si="4"/>
        <v>631668.9</v>
      </c>
      <c r="L24" s="43">
        <v>4579.9000000000233</v>
      </c>
      <c r="M24" s="56">
        <f t="shared" si="5"/>
        <v>636248.80000000005</v>
      </c>
      <c r="N24" s="43">
        <v>33564.099999999977</v>
      </c>
      <c r="O24" s="56">
        <f t="shared" si="6"/>
        <v>669812.9</v>
      </c>
      <c r="P24" s="43">
        <v>331.69999999995343</v>
      </c>
      <c r="Q24" s="56">
        <f t="shared" si="7"/>
        <v>670144.6</v>
      </c>
      <c r="R24" s="43"/>
      <c r="S24" s="56">
        <f t="shared" si="8"/>
        <v>670144.6</v>
      </c>
      <c r="T24" s="43">
        <v>9329.7999999999993</v>
      </c>
      <c r="U24" s="56">
        <f t="shared" si="9"/>
        <v>679474.4</v>
      </c>
      <c r="V24" s="43">
        <v>-7276.7000000000698</v>
      </c>
      <c r="W24" s="56">
        <f t="shared" si="10"/>
        <v>672197.7</v>
      </c>
      <c r="X24" s="43">
        <v>7830.6000000000931</v>
      </c>
      <c r="Y24" s="56">
        <f t="shared" si="11"/>
        <v>680028.3</v>
      </c>
      <c r="Z24" s="43"/>
      <c r="AA24" s="56">
        <f t="shared" si="12"/>
        <v>680028.3</v>
      </c>
      <c r="AB24" s="43"/>
      <c r="AC24" s="56">
        <f t="shared" si="13"/>
        <v>680028.3</v>
      </c>
      <c r="AD24" s="43">
        <v>18104.29999999993</v>
      </c>
      <c r="AE24" s="44">
        <f t="shared" si="17"/>
        <v>698132.6</v>
      </c>
      <c r="AF24" s="15">
        <f>D24+H24+L24+N24+P24+T24+V24+X24+AD24</f>
        <v>76616.799999999886</v>
      </c>
      <c r="AG24" s="45"/>
      <c r="AH24" s="9"/>
    </row>
    <row r="25" spans="1:34" ht="16.5" customHeight="1" x14ac:dyDescent="0.25">
      <c r="A25" s="52" t="s">
        <v>105</v>
      </c>
      <c r="B25" s="42" t="s">
        <v>106</v>
      </c>
      <c r="C25" s="13">
        <v>7500</v>
      </c>
      <c r="D25" s="43"/>
      <c r="E25" s="56">
        <f t="shared" si="1"/>
        <v>7500</v>
      </c>
      <c r="F25" s="43"/>
      <c r="G25" s="56">
        <f t="shared" si="2"/>
        <v>7500</v>
      </c>
      <c r="H25" s="43"/>
      <c r="I25" s="56">
        <f t="shared" si="3"/>
        <v>7500</v>
      </c>
      <c r="J25" s="43"/>
      <c r="K25" s="56">
        <f t="shared" si="4"/>
        <v>7500</v>
      </c>
      <c r="L25" s="43"/>
      <c r="M25" s="56">
        <f t="shared" si="5"/>
        <v>7500</v>
      </c>
      <c r="N25" s="43"/>
      <c r="O25" s="56">
        <f t="shared" si="6"/>
        <v>7500</v>
      </c>
      <c r="P25" s="43"/>
      <c r="Q25" s="56">
        <f t="shared" si="7"/>
        <v>7500</v>
      </c>
      <c r="R25" s="43"/>
      <c r="S25" s="56">
        <f t="shared" si="8"/>
        <v>7500</v>
      </c>
      <c r="T25" s="43"/>
      <c r="U25" s="56">
        <f t="shared" si="9"/>
        <v>7500</v>
      </c>
      <c r="V25" s="43"/>
      <c r="W25" s="56">
        <f t="shared" si="10"/>
        <v>7500</v>
      </c>
      <c r="X25" s="43"/>
      <c r="Y25" s="56">
        <f t="shared" si="11"/>
        <v>7500</v>
      </c>
      <c r="Z25" s="43"/>
      <c r="AA25" s="56">
        <f t="shared" si="12"/>
        <v>7500</v>
      </c>
      <c r="AB25" s="43"/>
      <c r="AC25" s="56">
        <f t="shared" si="13"/>
        <v>7500</v>
      </c>
      <c r="AD25" s="43">
        <v>-3970</v>
      </c>
      <c r="AE25" s="44">
        <f t="shared" si="17"/>
        <v>3530</v>
      </c>
      <c r="AF25" s="15">
        <f>AD25</f>
        <v>-3970</v>
      </c>
      <c r="AG25" s="45"/>
      <c r="AH25" s="9"/>
    </row>
    <row r="26" spans="1:34" s="10" customFormat="1" ht="19.5" customHeight="1" x14ac:dyDescent="0.25">
      <c r="A26" s="53" t="s">
        <v>107</v>
      </c>
      <c r="B26" s="23" t="s">
        <v>108</v>
      </c>
      <c r="C26" s="24">
        <f>SUM(C27:C36)-0.1</f>
        <v>29294719.199999996</v>
      </c>
      <c r="D26" s="24">
        <f t="shared" ref="D26" si="18">SUM(D27:D36)</f>
        <v>1397161.2999999996</v>
      </c>
      <c r="E26" s="24">
        <f>C26+D26-0.1</f>
        <v>30691880.399999995</v>
      </c>
      <c r="F26" s="24">
        <f>SUM(F27:F36)</f>
        <v>917581.40000000142</v>
      </c>
      <c r="G26" s="24">
        <f t="shared" ref="G26:J26" si="19">SUM(G27:G36)</f>
        <v>31609462</v>
      </c>
      <c r="H26" s="24"/>
      <c r="I26" s="24">
        <f t="shared" si="19"/>
        <v>31609462</v>
      </c>
      <c r="J26" s="24">
        <f t="shared" si="19"/>
        <v>2595106.3999999994</v>
      </c>
      <c r="K26" s="24">
        <f>SUM(K27:K36)-0.1</f>
        <v>34204568.299999997</v>
      </c>
      <c r="L26" s="24">
        <f>SUM(L27:L36)</f>
        <v>3848334.3000000007</v>
      </c>
      <c r="M26" s="24">
        <f>SUM(M27:M36)+0.1</f>
        <v>38052902.800000004</v>
      </c>
      <c r="N26" s="24">
        <f t="shared" ref="N26:S26" si="20">SUM(N27:N36)+0.1</f>
        <v>510215.69999999972</v>
      </c>
      <c r="O26" s="24">
        <f t="shared" si="20"/>
        <v>38563118.399999999</v>
      </c>
      <c r="P26" s="24">
        <f t="shared" si="20"/>
        <v>3058560.4</v>
      </c>
      <c r="Q26" s="24">
        <f t="shared" si="20"/>
        <v>41621678.700000003</v>
      </c>
      <c r="R26" s="24"/>
      <c r="S26" s="24">
        <f t="shared" si="20"/>
        <v>41621678.700000003</v>
      </c>
      <c r="T26" s="24">
        <f>SUM(T27:T36)</f>
        <v>309889.09999999823</v>
      </c>
      <c r="U26" s="24">
        <f t="shared" ref="U26:AD26" si="21">SUM(U27:U36)</f>
        <v>41931567.700000003</v>
      </c>
      <c r="V26" s="24">
        <f t="shared" si="21"/>
        <v>540479.80000000144</v>
      </c>
      <c r="W26" s="24">
        <f t="shared" si="21"/>
        <v>42472047.5</v>
      </c>
      <c r="X26" s="24">
        <f t="shared" si="21"/>
        <v>2633294.0999999982</v>
      </c>
      <c r="Y26" s="24">
        <f t="shared" si="21"/>
        <v>45105341.600000009</v>
      </c>
      <c r="Z26" s="24">
        <f t="shared" si="21"/>
        <v>1731372.800000001</v>
      </c>
      <c r="AA26" s="24">
        <f>SUM(AA27:AA36)-0.1</f>
        <v>46836714.300000004</v>
      </c>
      <c r="AB26" s="24">
        <f t="shared" si="21"/>
        <v>365807.70000000147</v>
      </c>
      <c r="AC26" s="24">
        <f>SUM(AC27:AC36)-0.1</f>
        <v>47202522.000000007</v>
      </c>
      <c r="AD26" s="24">
        <f t="shared" si="21"/>
        <v>-1175796.1000000001</v>
      </c>
      <c r="AE26" s="24">
        <f>SUM(AE27:AE36)+0.1</f>
        <v>46026726.100000001</v>
      </c>
      <c r="AF26" s="58">
        <f>SUM(AF27:AF36)+0.2</f>
        <v>16732006.9</v>
      </c>
      <c r="AG26" s="45"/>
      <c r="AH26" s="9"/>
    </row>
    <row r="27" spans="1:34" ht="16.5" customHeight="1" x14ac:dyDescent="0.25">
      <c r="A27" s="52" t="s">
        <v>109</v>
      </c>
      <c r="B27" s="42" t="s">
        <v>110</v>
      </c>
      <c r="C27" s="13">
        <v>858688.4</v>
      </c>
      <c r="D27" s="43">
        <v>-817.70000000006985</v>
      </c>
      <c r="E27" s="56">
        <f t="shared" si="1"/>
        <v>857870.7</v>
      </c>
      <c r="F27" s="43"/>
      <c r="G27" s="56">
        <f t="shared" si="2"/>
        <v>857870.7</v>
      </c>
      <c r="H27" s="43"/>
      <c r="I27" s="56">
        <f t="shared" si="3"/>
        <v>857870.7</v>
      </c>
      <c r="J27" s="43">
        <v>-21.3</v>
      </c>
      <c r="K27" s="56">
        <f t="shared" si="4"/>
        <v>857849.39999999991</v>
      </c>
      <c r="L27" s="43">
        <v>-426.99999999988358</v>
      </c>
      <c r="M27" s="56">
        <f t="shared" si="5"/>
        <v>857422.4</v>
      </c>
      <c r="N27" s="43"/>
      <c r="O27" s="56">
        <f t="shared" si="6"/>
        <v>857422.4</v>
      </c>
      <c r="P27" s="43"/>
      <c r="Q27" s="56">
        <f t="shared" si="7"/>
        <v>857422.4</v>
      </c>
      <c r="R27" s="43"/>
      <c r="S27" s="56">
        <f t="shared" si="8"/>
        <v>857422.4</v>
      </c>
      <c r="T27" s="43">
        <v>4660.4000000000233</v>
      </c>
      <c r="U27" s="56">
        <f t="shared" si="9"/>
        <v>862082.8</v>
      </c>
      <c r="V27" s="43">
        <v>-12380.5</v>
      </c>
      <c r="W27" s="56">
        <f t="shared" si="10"/>
        <v>849702.3</v>
      </c>
      <c r="X27" s="43"/>
      <c r="Y27" s="56">
        <f t="shared" si="11"/>
        <v>849702.3</v>
      </c>
      <c r="Z27" s="43">
        <v>-1307.9000000000233</v>
      </c>
      <c r="AA27" s="56">
        <f t="shared" si="12"/>
        <v>848394.4</v>
      </c>
      <c r="AB27" s="43"/>
      <c r="AC27" s="56">
        <f t="shared" si="13"/>
        <v>848394.4</v>
      </c>
      <c r="AD27" s="43">
        <v>-5691.2000000000698</v>
      </c>
      <c r="AE27" s="44">
        <f>AC27+AD27</f>
        <v>842703.2</v>
      </c>
      <c r="AF27" s="15">
        <f>D27+J27+L27+T27+V27+X27+Z27+AD27</f>
        <v>-15985.200000000023</v>
      </c>
      <c r="AG27" s="45"/>
      <c r="AH27" s="9"/>
    </row>
    <row r="28" spans="1:34" ht="18" customHeight="1" x14ac:dyDescent="0.25">
      <c r="A28" s="52" t="s">
        <v>111</v>
      </c>
      <c r="B28" s="42" t="s">
        <v>112</v>
      </c>
      <c r="C28" s="13">
        <v>1500</v>
      </c>
      <c r="D28" s="43"/>
      <c r="E28" s="56">
        <f t="shared" si="1"/>
        <v>1500</v>
      </c>
      <c r="F28" s="43"/>
      <c r="G28" s="56">
        <f t="shared" si="2"/>
        <v>1500</v>
      </c>
      <c r="H28" s="43"/>
      <c r="I28" s="56">
        <f t="shared" si="3"/>
        <v>1500</v>
      </c>
      <c r="J28" s="43"/>
      <c r="K28" s="56">
        <f t="shared" si="4"/>
        <v>1500</v>
      </c>
      <c r="L28" s="43"/>
      <c r="M28" s="56">
        <f t="shared" si="5"/>
        <v>1500</v>
      </c>
      <c r="N28" s="43"/>
      <c r="O28" s="56">
        <f t="shared" si="6"/>
        <v>1500</v>
      </c>
      <c r="P28" s="43"/>
      <c r="Q28" s="56">
        <f t="shared" si="7"/>
        <v>1500</v>
      </c>
      <c r="R28" s="43"/>
      <c r="S28" s="56">
        <f t="shared" si="8"/>
        <v>1500</v>
      </c>
      <c r="T28" s="43"/>
      <c r="U28" s="56">
        <f t="shared" si="9"/>
        <v>1500</v>
      </c>
      <c r="V28" s="43"/>
      <c r="W28" s="56">
        <f t="shared" si="10"/>
        <v>1500</v>
      </c>
      <c r="X28" s="43"/>
      <c r="Y28" s="56">
        <f t="shared" si="11"/>
        <v>1500</v>
      </c>
      <c r="Z28" s="43">
        <v>-1416.6</v>
      </c>
      <c r="AA28" s="56">
        <f t="shared" si="12"/>
        <v>83.400000000000091</v>
      </c>
      <c r="AB28" s="43"/>
      <c r="AC28" s="56">
        <f t="shared" si="13"/>
        <v>83.400000000000091</v>
      </c>
      <c r="AD28" s="43"/>
      <c r="AE28" s="44">
        <f t="shared" ref="AE28:AE36" si="22">AC28+AD28</f>
        <v>83.400000000000091</v>
      </c>
      <c r="AF28" s="15">
        <f>Z28</f>
        <v>-1416.6</v>
      </c>
      <c r="AG28" s="45"/>
      <c r="AH28" s="9"/>
    </row>
    <row r="29" spans="1:34" ht="16.5" customHeight="1" x14ac:dyDescent="0.25">
      <c r="A29" s="52" t="s">
        <v>113</v>
      </c>
      <c r="B29" s="42" t="s">
        <v>114</v>
      </c>
      <c r="C29" s="13">
        <v>2783000.4</v>
      </c>
      <c r="D29" s="43">
        <v>64446.100000000093</v>
      </c>
      <c r="E29" s="56">
        <f t="shared" si="1"/>
        <v>2847446.5</v>
      </c>
      <c r="F29" s="43">
        <v>25591.899999999907</v>
      </c>
      <c r="G29" s="56">
        <f t="shared" si="2"/>
        <v>2873038.4</v>
      </c>
      <c r="H29" s="43"/>
      <c r="I29" s="56">
        <f t="shared" si="3"/>
        <v>2873038.4</v>
      </c>
      <c r="J29" s="43">
        <v>80000</v>
      </c>
      <c r="K29" s="56">
        <f t="shared" si="4"/>
        <v>2953038.4</v>
      </c>
      <c r="L29" s="43">
        <v>47748.300000000279</v>
      </c>
      <c r="M29" s="56">
        <f t="shared" si="5"/>
        <v>3000786.7</v>
      </c>
      <c r="N29" s="43">
        <v>863.39999999990687</v>
      </c>
      <c r="O29" s="56">
        <f t="shared" si="6"/>
        <v>3001650.1</v>
      </c>
      <c r="P29" s="43">
        <v>30408.799999999814</v>
      </c>
      <c r="Q29" s="56">
        <f t="shared" si="7"/>
        <v>3032058.9</v>
      </c>
      <c r="R29" s="43"/>
      <c r="S29" s="56">
        <f t="shared" si="8"/>
        <v>3032058.9</v>
      </c>
      <c r="T29" s="43">
        <v>8266.8000000002794</v>
      </c>
      <c r="U29" s="56">
        <f t="shared" si="9"/>
        <v>3040325.7</v>
      </c>
      <c r="V29" s="43">
        <v>-8853.6000000000931</v>
      </c>
      <c r="W29" s="56">
        <f t="shared" si="10"/>
        <v>3031472.1</v>
      </c>
      <c r="X29" s="43">
        <v>2511074.1</v>
      </c>
      <c r="Y29" s="56">
        <f t="shared" si="11"/>
        <v>5542546.2000000002</v>
      </c>
      <c r="Z29" s="43">
        <v>-9677.9000000003725</v>
      </c>
      <c r="AA29" s="56">
        <f t="shared" si="12"/>
        <v>5532868.2999999998</v>
      </c>
      <c r="AB29" s="43"/>
      <c r="AC29" s="56">
        <f t="shared" si="13"/>
        <v>5532868.2999999998</v>
      </c>
      <c r="AD29" s="43">
        <v>209845.40000000037</v>
      </c>
      <c r="AE29" s="44">
        <f t="shared" si="22"/>
        <v>5742713.7000000002</v>
      </c>
      <c r="AF29" s="15">
        <f>D29+F29+J29+L29+N29+P29+T29+V29+X29+Z29+AD29</f>
        <v>2959713.3000000003</v>
      </c>
      <c r="AG29" s="45"/>
      <c r="AH29" s="9"/>
    </row>
    <row r="30" spans="1:34" ht="15.75" customHeight="1" x14ac:dyDescent="0.25">
      <c r="A30" s="52" t="s">
        <v>115</v>
      </c>
      <c r="B30" s="42" t="s">
        <v>116</v>
      </c>
      <c r="C30" s="13">
        <v>48632.800000000003</v>
      </c>
      <c r="D30" s="43"/>
      <c r="E30" s="56">
        <f t="shared" si="1"/>
        <v>48632.800000000003</v>
      </c>
      <c r="F30" s="43"/>
      <c r="G30" s="56">
        <f t="shared" si="2"/>
        <v>48632.800000000003</v>
      </c>
      <c r="H30" s="43"/>
      <c r="I30" s="56">
        <f t="shared" si="3"/>
        <v>48632.800000000003</v>
      </c>
      <c r="J30" s="43"/>
      <c r="K30" s="56">
        <f t="shared" si="4"/>
        <v>48632.800000000003</v>
      </c>
      <c r="L30" s="43">
        <v>98265.7</v>
      </c>
      <c r="M30" s="56">
        <f t="shared" si="5"/>
        <v>146898.5</v>
      </c>
      <c r="N30" s="43"/>
      <c r="O30" s="56">
        <f t="shared" si="6"/>
        <v>146898.5</v>
      </c>
      <c r="P30" s="43"/>
      <c r="Q30" s="56">
        <f t="shared" si="7"/>
        <v>146898.5</v>
      </c>
      <c r="R30" s="43"/>
      <c r="S30" s="56">
        <f t="shared" si="8"/>
        <v>146898.5</v>
      </c>
      <c r="T30" s="43">
        <v>100</v>
      </c>
      <c r="U30" s="56">
        <f t="shared" si="9"/>
        <v>146998.5</v>
      </c>
      <c r="V30" s="43"/>
      <c r="W30" s="56">
        <f t="shared" si="10"/>
        <v>146998.5</v>
      </c>
      <c r="X30" s="43">
        <v>-71.200000000011642</v>
      </c>
      <c r="Y30" s="56">
        <f t="shared" si="11"/>
        <v>146927.29999999999</v>
      </c>
      <c r="Z30" s="43"/>
      <c r="AA30" s="56">
        <f t="shared" si="12"/>
        <v>146927.29999999999</v>
      </c>
      <c r="AB30" s="43">
        <v>-92.899999999994179</v>
      </c>
      <c r="AC30" s="56">
        <f t="shared" si="13"/>
        <v>146834.4</v>
      </c>
      <c r="AD30" s="43">
        <v>-35875.299999999988</v>
      </c>
      <c r="AE30" s="44">
        <f t="shared" si="22"/>
        <v>110959.1</v>
      </c>
      <c r="AF30" s="15">
        <f>L30+T30+X30+AB30+AD30</f>
        <v>62326.3</v>
      </c>
      <c r="AG30" s="45"/>
      <c r="AH30" s="9"/>
    </row>
    <row r="31" spans="1:34" ht="18" customHeight="1" x14ac:dyDescent="0.25">
      <c r="A31" s="52" t="s">
        <v>117</v>
      </c>
      <c r="B31" s="42" t="s">
        <v>118</v>
      </c>
      <c r="C31" s="13">
        <v>363728.6</v>
      </c>
      <c r="D31" s="43"/>
      <c r="E31" s="56">
        <f t="shared" si="1"/>
        <v>363728.6</v>
      </c>
      <c r="F31" s="43">
        <v>2213.4000000000233</v>
      </c>
      <c r="G31" s="56">
        <f t="shared" si="2"/>
        <v>365942</v>
      </c>
      <c r="H31" s="43"/>
      <c r="I31" s="56">
        <f t="shared" si="3"/>
        <v>365942</v>
      </c>
      <c r="J31" s="43"/>
      <c r="K31" s="56">
        <f t="shared" si="4"/>
        <v>365942</v>
      </c>
      <c r="L31" s="43">
        <v>18293.400000000023</v>
      </c>
      <c r="M31" s="56">
        <f t="shared" si="5"/>
        <v>384235.4</v>
      </c>
      <c r="N31" s="43">
        <v>61.1</v>
      </c>
      <c r="O31" s="56">
        <f t="shared" si="6"/>
        <v>384296.5</v>
      </c>
      <c r="P31" s="43"/>
      <c r="Q31" s="56">
        <f t="shared" si="7"/>
        <v>384296.5</v>
      </c>
      <c r="R31" s="43"/>
      <c r="S31" s="56">
        <f t="shared" si="8"/>
        <v>384296.5</v>
      </c>
      <c r="T31" s="43">
        <v>1765.0999999999767</v>
      </c>
      <c r="U31" s="56">
        <f t="shared" si="9"/>
        <v>386061.6</v>
      </c>
      <c r="V31" s="43">
        <v>17.300000000046566</v>
      </c>
      <c r="W31" s="56">
        <f t="shared" si="10"/>
        <v>386078.9</v>
      </c>
      <c r="X31" s="43">
        <v>-50.200000000011642</v>
      </c>
      <c r="Y31" s="56">
        <f t="shared" si="11"/>
        <v>386028.7</v>
      </c>
      <c r="Z31" s="43">
        <v>39.099999999976717</v>
      </c>
      <c r="AA31" s="56">
        <f t="shared" si="12"/>
        <v>386067.8</v>
      </c>
      <c r="AB31" s="43">
        <v>3</v>
      </c>
      <c r="AC31" s="56">
        <f t="shared" si="13"/>
        <v>386070.8</v>
      </c>
      <c r="AD31" s="43">
        <v>12481.400000000023</v>
      </c>
      <c r="AE31" s="44">
        <f t="shared" si="22"/>
        <v>398552.2</v>
      </c>
      <c r="AF31" s="15">
        <f>F31+L31+N31+T31+V31+X31+Z31+AB31+AD31</f>
        <v>34823.600000000057</v>
      </c>
      <c r="AG31" s="45"/>
      <c r="AH31" s="9"/>
    </row>
    <row r="32" spans="1:34" ht="15.75" customHeight="1" x14ac:dyDescent="0.25">
      <c r="A32" s="52" t="s">
        <v>119</v>
      </c>
      <c r="B32" s="42" t="s">
        <v>120</v>
      </c>
      <c r="C32" s="13">
        <v>5187435</v>
      </c>
      <c r="D32" s="43">
        <v>1321150.5</v>
      </c>
      <c r="E32" s="56">
        <f t="shared" si="1"/>
        <v>6508585.5</v>
      </c>
      <c r="F32" s="43">
        <v>446534.90000000037</v>
      </c>
      <c r="G32" s="56">
        <f t="shared" si="2"/>
        <v>6955120.4000000004</v>
      </c>
      <c r="H32" s="43"/>
      <c r="I32" s="56">
        <f t="shared" si="3"/>
        <v>6955120.4000000004</v>
      </c>
      <c r="J32" s="43">
        <v>536131.79999999981</v>
      </c>
      <c r="K32" s="56">
        <f t="shared" si="4"/>
        <v>7491252.2000000002</v>
      </c>
      <c r="L32" s="43">
        <v>3049999.9999999991</v>
      </c>
      <c r="M32" s="56">
        <f t="shared" si="5"/>
        <v>10541252.199999999</v>
      </c>
      <c r="N32" s="43">
        <v>-50000</v>
      </c>
      <c r="O32" s="56">
        <f t="shared" si="6"/>
        <v>10491252.199999999</v>
      </c>
      <c r="P32" s="43"/>
      <c r="Q32" s="56">
        <f t="shared" si="7"/>
        <v>10491252.199999999</v>
      </c>
      <c r="R32" s="43"/>
      <c r="S32" s="56">
        <f t="shared" si="8"/>
        <v>10491252.199999999</v>
      </c>
      <c r="T32" s="43">
        <v>195936.5</v>
      </c>
      <c r="U32" s="56">
        <f t="shared" si="9"/>
        <v>10687188.699999999</v>
      </c>
      <c r="V32" s="43">
        <v>-21.199999999254942</v>
      </c>
      <c r="W32" s="56">
        <f t="shared" si="10"/>
        <v>10687167.5</v>
      </c>
      <c r="X32" s="43">
        <v>-39825.300000000745</v>
      </c>
      <c r="Y32" s="56">
        <f t="shared" si="11"/>
        <v>10647342.199999999</v>
      </c>
      <c r="Z32" s="43">
        <v>100000</v>
      </c>
      <c r="AA32" s="56">
        <f t="shared" si="12"/>
        <v>10747342.199999999</v>
      </c>
      <c r="AB32" s="43">
        <v>173136.10000000149</v>
      </c>
      <c r="AC32" s="56">
        <f t="shared" si="13"/>
        <v>10920478.300000001</v>
      </c>
      <c r="AD32" s="43">
        <v>-953533.90000000037</v>
      </c>
      <c r="AE32" s="44">
        <f t="shared" si="22"/>
        <v>9966944.4000000004</v>
      </c>
      <c r="AF32" s="15">
        <f>F32+D32+J32+L32+N32+T32+V32+X32+Z32+AB32+AD32</f>
        <v>4779509.4000000004</v>
      </c>
      <c r="AG32" s="45"/>
      <c r="AH32" s="9"/>
    </row>
    <row r="33" spans="1:34" ht="18" customHeight="1" x14ac:dyDescent="0.25">
      <c r="A33" s="52" t="s">
        <v>121</v>
      </c>
      <c r="B33" s="42" t="s">
        <v>122</v>
      </c>
      <c r="C33" s="13">
        <v>15588041.6</v>
      </c>
      <c r="D33" s="43"/>
      <c r="E33" s="56">
        <f t="shared" si="1"/>
        <v>15588041.6</v>
      </c>
      <c r="F33" s="43">
        <v>243241.30000000075</v>
      </c>
      <c r="G33" s="56">
        <f t="shared" si="2"/>
        <v>15831282.9</v>
      </c>
      <c r="H33" s="43"/>
      <c r="I33" s="56">
        <f t="shared" si="3"/>
        <v>15831282.9</v>
      </c>
      <c r="J33" s="43">
        <v>1250997.0999999996</v>
      </c>
      <c r="K33" s="56">
        <f t="shared" si="4"/>
        <v>17082280</v>
      </c>
      <c r="L33" s="43">
        <v>594212.60000000149</v>
      </c>
      <c r="M33" s="56">
        <f t="shared" si="5"/>
        <v>17676492.600000001</v>
      </c>
      <c r="N33" s="43">
        <v>552469.5</v>
      </c>
      <c r="O33" s="56">
        <f t="shared" si="6"/>
        <v>18228962.100000001</v>
      </c>
      <c r="P33" s="43"/>
      <c r="Q33" s="56">
        <f t="shared" si="7"/>
        <v>18228962.100000001</v>
      </c>
      <c r="R33" s="43"/>
      <c r="S33" s="56">
        <f t="shared" si="8"/>
        <v>18228962.100000001</v>
      </c>
      <c r="T33" s="43">
        <v>132863.59999999776</v>
      </c>
      <c r="U33" s="56">
        <f t="shared" si="9"/>
        <v>18361825.699999999</v>
      </c>
      <c r="V33" s="43">
        <v>25000</v>
      </c>
      <c r="W33" s="56">
        <f t="shared" si="10"/>
        <v>18386825.699999999</v>
      </c>
      <c r="X33" s="43">
        <v>153933.30000000075</v>
      </c>
      <c r="Y33" s="56">
        <f t="shared" si="11"/>
        <v>18540759</v>
      </c>
      <c r="Z33" s="43">
        <v>1646812.3000000007</v>
      </c>
      <c r="AA33" s="56">
        <f t="shared" si="12"/>
        <v>20187571.300000001</v>
      </c>
      <c r="AB33" s="43">
        <v>192761.5</v>
      </c>
      <c r="AC33" s="56">
        <f t="shared" si="13"/>
        <v>20380332.800000001</v>
      </c>
      <c r="AD33" s="43">
        <v>-16303.699999999255</v>
      </c>
      <c r="AE33" s="44">
        <f t="shared" si="22"/>
        <v>20364029.100000001</v>
      </c>
      <c r="AF33" s="15">
        <f>F33+J33+L33+N33+T33+V33++X33+Z33+AB33+AD33</f>
        <v>4775987.5000000019</v>
      </c>
      <c r="AG33" s="45"/>
      <c r="AH33" s="9"/>
    </row>
    <row r="34" spans="1:34" ht="18" customHeight="1" x14ac:dyDescent="0.25">
      <c r="A34" s="52" t="s">
        <v>123</v>
      </c>
      <c r="B34" s="42" t="s">
        <v>124</v>
      </c>
      <c r="C34" s="13">
        <v>146785.60000000001</v>
      </c>
      <c r="D34" s="43">
        <v>-349.20000000001164</v>
      </c>
      <c r="E34" s="56">
        <f t="shared" si="1"/>
        <v>146436.4</v>
      </c>
      <c r="F34" s="43"/>
      <c r="G34" s="56">
        <f t="shared" si="2"/>
        <v>146436.4</v>
      </c>
      <c r="H34" s="43"/>
      <c r="I34" s="56">
        <f t="shared" si="3"/>
        <v>146436.4</v>
      </c>
      <c r="J34" s="43"/>
      <c r="K34" s="56">
        <f t="shared" si="4"/>
        <v>146436.4</v>
      </c>
      <c r="L34" s="43">
        <v>13390</v>
      </c>
      <c r="M34" s="56">
        <f t="shared" si="5"/>
        <v>159826.4</v>
      </c>
      <c r="N34" s="43">
        <v>2547.8000000000175</v>
      </c>
      <c r="O34" s="56">
        <f t="shared" si="6"/>
        <v>162374.20000000001</v>
      </c>
      <c r="P34" s="43"/>
      <c r="Q34" s="56">
        <f t="shared" si="7"/>
        <v>162374.20000000001</v>
      </c>
      <c r="R34" s="43"/>
      <c r="S34" s="56">
        <f t="shared" si="8"/>
        <v>162374.20000000001</v>
      </c>
      <c r="T34" s="43">
        <v>4722.5</v>
      </c>
      <c r="U34" s="56">
        <f t="shared" si="9"/>
        <v>167096.70000000001</v>
      </c>
      <c r="V34" s="43">
        <v>-200</v>
      </c>
      <c r="W34" s="56">
        <f t="shared" si="10"/>
        <v>166896.70000000001</v>
      </c>
      <c r="X34" s="43"/>
      <c r="Y34" s="56">
        <f t="shared" si="11"/>
        <v>166896.70000000001</v>
      </c>
      <c r="Z34" s="43">
        <v>1000</v>
      </c>
      <c r="AA34" s="56">
        <f t="shared" si="12"/>
        <v>167896.7</v>
      </c>
      <c r="AB34" s="43"/>
      <c r="AC34" s="56">
        <f t="shared" si="13"/>
        <v>167896.7</v>
      </c>
      <c r="AD34" s="43"/>
      <c r="AE34" s="44">
        <f t="shared" si="22"/>
        <v>167896.7</v>
      </c>
      <c r="AF34" s="15">
        <f>D34+L34+N34+T34+V34+Z34</f>
        <v>21111.100000000006</v>
      </c>
      <c r="AG34" s="45"/>
      <c r="AH34" s="9"/>
    </row>
    <row r="35" spans="1:34" ht="25.5" x14ac:dyDescent="0.25">
      <c r="A35" s="52" t="s">
        <v>125</v>
      </c>
      <c r="B35" s="42" t="s">
        <v>126</v>
      </c>
      <c r="C35" s="13">
        <v>18635</v>
      </c>
      <c r="D35" s="43"/>
      <c r="E35" s="56">
        <f t="shared" si="1"/>
        <v>18635</v>
      </c>
      <c r="F35" s="43"/>
      <c r="G35" s="56">
        <f t="shared" si="2"/>
        <v>18635</v>
      </c>
      <c r="H35" s="43"/>
      <c r="I35" s="56">
        <f t="shared" si="3"/>
        <v>18635</v>
      </c>
      <c r="J35" s="43"/>
      <c r="K35" s="56">
        <f t="shared" si="4"/>
        <v>18635</v>
      </c>
      <c r="L35" s="43"/>
      <c r="M35" s="56">
        <f t="shared" si="5"/>
        <v>18635</v>
      </c>
      <c r="N35" s="43"/>
      <c r="O35" s="56">
        <f t="shared" si="6"/>
        <v>18635</v>
      </c>
      <c r="P35" s="43"/>
      <c r="Q35" s="56">
        <f t="shared" si="7"/>
        <v>18635</v>
      </c>
      <c r="R35" s="43"/>
      <c r="S35" s="56">
        <f t="shared" si="8"/>
        <v>18635</v>
      </c>
      <c r="T35" s="43"/>
      <c r="U35" s="56">
        <f t="shared" si="9"/>
        <v>18635</v>
      </c>
      <c r="V35" s="43"/>
      <c r="W35" s="56">
        <f t="shared" si="10"/>
        <v>18635</v>
      </c>
      <c r="X35" s="43">
        <v>2000</v>
      </c>
      <c r="Y35" s="56">
        <f t="shared" si="11"/>
        <v>20635</v>
      </c>
      <c r="Z35" s="43"/>
      <c r="AA35" s="56">
        <f t="shared" si="12"/>
        <v>20635</v>
      </c>
      <c r="AB35" s="43"/>
      <c r="AC35" s="56">
        <f t="shared" si="13"/>
        <v>20635</v>
      </c>
      <c r="AD35" s="43">
        <v>-150</v>
      </c>
      <c r="AE35" s="44">
        <f t="shared" si="22"/>
        <v>20485</v>
      </c>
      <c r="AF35" s="15">
        <f>X35+AD35</f>
        <v>1850</v>
      </c>
      <c r="AG35" s="45"/>
      <c r="AH35" s="9"/>
    </row>
    <row r="36" spans="1:34" ht="17.25" customHeight="1" x14ac:dyDescent="0.25">
      <c r="A36" s="52" t="s">
        <v>127</v>
      </c>
      <c r="B36" s="42" t="s">
        <v>128</v>
      </c>
      <c r="C36" s="13">
        <v>4298271.9000000004</v>
      </c>
      <c r="D36" s="43">
        <v>12731.599999999627</v>
      </c>
      <c r="E36" s="56">
        <f t="shared" si="1"/>
        <v>4311003.5</v>
      </c>
      <c r="F36" s="43">
        <v>199999.90000000037</v>
      </c>
      <c r="G36" s="56">
        <f t="shared" si="2"/>
        <v>4511003.4000000004</v>
      </c>
      <c r="H36" s="43"/>
      <c r="I36" s="56">
        <f t="shared" si="3"/>
        <v>4511003.4000000004</v>
      </c>
      <c r="J36" s="43">
        <v>727998.79999999981</v>
      </c>
      <c r="K36" s="56">
        <f t="shared" si="4"/>
        <v>5239002.2</v>
      </c>
      <c r="L36" s="43">
        <v>26851.299999999814</v>
      </c>
      <c r="M36" s="56">
        <f t="shared" si="5"/>
        <v>5265853.5</v>
      </c>
      <c r="N36" s="43">
        <v>4273.7999999998137</v>
      </c>
      <c r="O36" s="56">
        <f t="shared" si="6"/>
        <v>5270127.3</v>
      </c>
      <c r="P36" s="43">
        <v>3028151.5</v>
      </c>
      <c r="Q36" s="56">
        <f t="shared" si="7"/>
        <v>8298278.7999999998</v>
      </c>
      <c r="R36" s="43"/>
      <c r="S36" s="56">
        <f t="shared" si="8"/>
        <v>8298278.7999999998</v>
      </c>
      <c r="T36" s="43">
        <v>-38425.799999999814</v>
      </c>
      <c r="U36" s="56">
        <f t="shared" si="9"/>
        <v>8259853</v>
      </c>
      <c r="V36" s="43">
        <v>536917.80000000075</v>
      </c>
      <c r="W36" s="56">
        <f t="shared" si="10"/>
        <v>8796770.8000000007</v>
      </c>
      <c r="X36" s="43">
        <v>6233.3999999985099</v>
      </c>
      <c r="Y36" s="56">
        <f t="shared" si="11"/>
        <v>8803004.1999999993</v>
      </c>
      <c r="Z36" s="43">
        <v>-4076.1999999992549</v>
      </c>
      <c r="AA36" s="56">
        <f t="shared" si="12"/>
        <v>8798928</v>
      </c>
      <c r="AB36" s="43"/>
      <c r="AC36" s="56">
        <f t="shared" si="13"/>
        <v>8798928</v>
      </c>
      <c r="AD36" s="43">
        <v>-386568.80000000075</v>
      </c>
      <c r="AE36" s="44">
        <f t="shared" si="22"/>
        <v>8412359.1999999993</v>
      </c>
      <c r="AF36" s="15">
        <f>D36+F36+J36+L36+N36+P36+T36+V36+X36+Z36+AD36</f>
        <v>4114087.2999999989</v>
      </c>
      <c r="AG36" s="45"/>
      <c r="AH36" s="9"/>
    </row>
    <row r="37" spans="1:34" s="10" customFormat="1" ht="20.25" customHeight="1" x14ac:dyDescent="0.25">
      <c r="A37" s="53" t="s">
        <v>129</v>
      </c>
      <c r="B37" s="23" t="s">
        <v>130</v>
      </c>
      <c r="C37" s="24">
        <f>SUM(C38:C42)</f>
        <v>4512138.8</v>
      </c>
      <c r="D37" s="24">
        <f>SUM(D38:D42)</f>
        <v>369596.39999999979</v>
      </c>
      <c r="E37" s="24">
        <f t="shared" ref="E37:F37" si="23">SUM(E38:E42)</f>
        <v>4881735.2</v>
      </c>
      <c r="F37" s="24">
        <f t="shared" si="23"/>
        <v>37035.200000000303</v>
      </c>
      <c r="G37" s="24">
        <f>SUM(G38:G42)+0.1</f>
        <v>4918770.4999999991</v>
      </c>
      <c r="H37" s="24"/>
      <c r="I37" s="24">
        <f>SUM(I38:I42)+0.1</f>
        <v>4918770.4999999991</v>
      </c>
      <c r="J37" s="24">
        <f t="shared" ref="J37" si="24">SUM(J38:J42)</f>
        <v>518269.80000000016</v>
      </c>
      <c r="K37" s="24">
        <f>SUM(K38:K42)+0.1</f>
        <v>5437040.2999999998</v>
      </c>
      <c r="L37" s="24">
        <f>SUM(L38:L42)</f>
        <v>545913.49999999965</v>
      </c>
      <c r="M37" s="24">
        <f>SUM(M38:M42)</f>
        <v>5982953.7000000002</v>
      </c>
      <c r="N37" s="24">
        <f>SUM(N38:N42)</f>
        <v>39795.099999999977</v>
      </c>
      <c r="O37" s="24">
        <f t="shared" ref="O37:AD37" si="25">SUM(O38:O42)</f>
        <v>6022748.7999999998</v>
      </c>
      <c r="P37" s="24">
        <f t="shared" si="25"/>
        <v>-697.39999999990687</v>
      </c>
      <c r="Q37" s="24">
        <f t="shared" si="25"/>
        <v>6022051.3999999994</v>
      </c>
      <c r="R37" s="24">
        <f t="shared" si="25"/>
        <v>300000</v>
      </c>
      <c r="S37" s="24">
        <f t="shared" si="25"/>
        <v>6322051.3999999994</v>
      </c>
      <c r="T37" s="24">
        <f t="shared" si="25"/>
        <v>16317</v>
      </c>
      <c r="U37" s="24">
        <f t="shared" si="25"/>
        <v>6338368.3999999994</v>
      </c>
      <c r="V37" s="24">
        <f t="shared" si="25"/>
        <v>74017.399999999907</v>
      </c>
      <c r="W37" s="24">
        <f t="shared" si="25"/>
        <v>6412385.7999999998</v>
      </c>
      <c r="X37" s="24">
        <f t="shared" si="25"/>
        <v>185314.10000000033</v>
      </c>
      <c r="Y37" s="24">
        <f>SUM(Y38:Y42)+0.1</f>
        <v>6597699.9999999991</v>
      </c>
      <c r="Z37" s="24">
        <f t="shared" si="25"/>
        <v>58027.699999999721</v>
      </c>
      <c r="AA37" s="24">
        <f>SUM(AA38:AA42)+0.1</f>
        <v>6655727.7000000002</v>
      </c>
      <c r="AB37" s="24">
        <f t="shared" si="25"/>
        <v>-13.099999999627471</v>
      </c>
      <c r="AC37" s="24">
        <f t="shared" si="25"/>
        <v>6655714.5000000009</v>
      </c>
      <c r="AD37" s="24">
        <f t="shared" si="25"/>
        <v>-35263.300000000163</v>
      </c>
      <c r="AE37" s="24">
        <f>SUM(AE38:AE42)</f>
        <v>6620451.2000000002</v>
      </c>
      <c r="AF37" s="58">
        <f>SUM(AF38:AF42)</f>
        <v>2108312.4</v>
      </c>
      <c r="AG37" s="45"/>
      <c r="AH37" s="9"/>
    </row>
    <row r="38" spans="1:34" ht="18.75" customHeight="1" x14ac:dyDescent="0.25">
      <c r="A38" s="52" t="s">
        <v>131</v>
      </c>
      <c r="B38" s="42" t="s">
        <v>132</v>
      </c>
      <c r="C38" s="13">
        <v>1682549.2</v>
      </c>
      <c r="D38" s="43">
        <v>734224.59999999986</v>
      </c>
      <c r="E38" s="56">
        <f t="shared" si="1"/>
        <v>2416773.7999999998</v>
      </c>
      <c r="F38" s="43">
        <v>37035.300000000279</v>
      </c>
      <c r="G38" s="56">
        <f t="shared" si="2"/>
        <v>2453809.1</v>
      </c>
      <c r="H38" s="43"/>
      <c r="I38" s="56">
        <f t="shared" si="3"/>
        <v>2453809.1</v>
      </c>
      <c r="J38" s="43">
        <v>505250.10000000009</v>
      </c>
      <c r="K38" s="56">
        <f t="shared" si="4"/>
        <v>2959059.2</v>
      </c>
      <c r="L38" s="43">
        <v>412448.09999999963</v>
      </c>
      <c r="M38" s="56">
        <f t="shared" si="5"/>
        <v>3371507.3</v>
      </c>
      <c r="N38" s="43">
        <v>35806</v>
      </c>
      <c r="O38" s="56">
        <f t="shared" si="6"/>
        <v>3407313.3</v>
      </c>
      <c r="P38" s="43">
        <v>-697.39999999990687</v>
      </c>
      <c r="Q38" s="56">
        <f t="shared" si="7"/>
        <v>3406615.9</v>
      </c>
      <c r="R38" s="43">
        <v>300000</v>
      </c>
      <c r="S38" s="56">
        <f t="shared" si="8"/>
        <v>3706615.9</v>
      </c>
      <c r="T38" s="43">
        <v>3829</v>
      </c>
      <c r="U38" s="56">
        <f t="shared" si="9"/>
        <v>3710444.9</v>
      </c>
      <c r="V38" s="43">
        <v>74017.399999999907</v>
      </c>
      <c r="W38" s="56">
        <f t="shared" si="10"/>
        <v>3784462.3</v>
      </c>
      <c r="X38" s="43">
        <v>72324.300000000279</v>
      </c>
      <c r="Y38" s="56">
        <f t="shared" si="11"/>
        <v>3856786.6</v>
      </c>
      <c r="Z38" s="43">
        <v>71405.199999999721</v>
      </c>
      <c r="AA38" s="56">
        <f t="shared" si="12"/>
        <v>3928191.8</v>
      </c>
      <c r="AB38" s="43">
        <v>-13.099999999627471</v>
      </c>
      <c r="AC38" s="56">
        <f t="shared" si="13"/>
        <v>3928178.7</v>
      </c>
      <c r="AD38" s="43">
        <v>-20524.200000000186</v>
      </c>
      <c r="AE38" s="44">
        <f>AC38+AD38</f>
        <v>3907654.5</v>
      </c>
      <c r="AF38" s="15">
        <f>D38+F38+J38+L38+N38+P38+R38+T38+V38+X38+Z38+AB38+AD38</f>
        <v>2225105.2999999998</v>
      </c>
      <c r="AG38" s="45"/>
      <c r="AH38" s="9"/>
    </row>
    <row r="39" spans="1:34" ht="18.75" customHeight="1" x14ac:dyDescent="0.25">
      <c r="A39" s="52" t="s">
        <v>133</v>
      </c>
      <c r="B39" s="42" t="s">
        <v>134</v>
      </c>
      <c r="C39" s="13">
        <v>1093291.7</v>
      </c>
      <c r="D39" s="43">
        <v>-363157.5</v>
      </c>
      <c r="E39" s="56">
        <f t="shared" si="1"/>
        <v>730134.2</v>
      </c>
      <c r="F39" s="43">
        <v>-9.9999999976716936E-2</v>
      </c>
      <c r="G39" s="56">
        <f t="shared" si="2"/>
        <v>730134.1</v>
      </c>
      <c r="H39" s="43"/>
      <c r="I39" s="56">
        <f t="shared" si="3"/>
        <v>730134.1</v>
      </c>
      <c r="J39" s="43"/>
      <c r="K39" s="56">
        <f t="shared" si="4"/>
        <v>730134.1</v>
      </c>
      <c r="L39" s="43">
        <v>28294.300000000047</v>
      </c>
      <c r="M39" s="56">
        <f t="shared" si="5"/>
        <v>758428.4</v>
      </c>
      <c r="N39" s="43"/>
      <c r="O39" s="56">
        <f t="shared" si="6"/>
        <v>758428.4</v>
      </c>
      <c r="P39" s="43"/>
      <c r="Q39" s="56">
        <f t="shared" si="7"/>
        <v>758428.4</v>
      </c>
      <c r="R39" s="43"/>
      <c r="S39" s="56">
        <f t="shared" si="8"/>
        <v>758428.4</v>
      </c>
      <c r="T39" s="43"/>
      <c r="U39" s="56">
        <f t="shared" si="9"/>
        <v>758428.4</v>
      </c>
      <c r="V39" s="43"/>
      <c r="W39" s="56">
        <f t="shared" si="10"/>
        <v>758428.4</v>
      </c>
      <c r="X39" s="43"/>
      <c r="Y39" s="56">
        <f t="shared" si="11"/>
        <v>758428.4</v>
      </c>
      <c r="Z39" s="43"/>
      <c r="AA39" s="56">
        <f t="shared" si="12"/>
        <v>758428.4</v>
      </c>
      <c r="AB39" s="43"/>
      <c r="AC39" s="56">
        <f t="shared" si="13"/>
        <v>758428.4</v>
      </c>
      <c r="AD39" s="43">
        <v>-69541.5</v>
      </c>
      <c r="AE39" s="44">
        <f t="shared" ref="AE39:AE42" si="26">AC39+AD39</f>
        <v>688886.9</v>
      </c>
      <c r="AF39" s="15">
        <f>D39+F39+L39+AD39</f>
        <v>-404404.79999999993</v>
      </c>
      <c r="AG39" s="45"/>
      <c r="AH39" s="9"/>
    </row>
    <row r="40" spans="1:34" ht="16.5" customHeight="1" x14ac:dyDescent="0.25">
      <c r="A40" s="52" t="s">
        <v>135</v>
      </c>
      <c r="B40" s="42" t="s">
        <v>136</v>
      </c>
      <c r="C40" s="13">
        <v>1040828.1</v>
      </c>
      <c r="D40" s="43"/>
      <c r="E40" s="56">
        <f t="shared" si="1"/>
        <v>1040828.1</v>
      </c>
      <c r="F40" s="43"/>
      <c r="G40" s="56">
        <f t="shared" si="2"/>
        <v>1040828.1</v>
      </c>
      <c r="H40" s="43"/>
      <c r="I40" s="56">
        <f t="shared" si="3"/>
        <v>1040828.1</v>
      </c>
      <c r="J40" s="43"/>
      <c r="K40" s="56">
        <f t="shared" si="4"/>
        <v>1040828.1</v>
      </c>
      <c r="L40" s="43"/>
      <c r="M40" s="56">
        <f t="shared" si="5"/>
        <v>1040828.1</v>
      </c>
      <c r="N40" s="43"/>
      <c r="O40" s="56">
        <f t="shared" si="6"/>
        <v>1040828.1</v>
      </c>
      <c r="P40" s="43"/>
      <c r="Q40" s="56">
        <f t="shared" si="7"/>
        <v>1040828.1</v>
      </c>
      <c r="R40" s="43"/>
      <c r="S40" s="56">
        <f t="shared" si="8"/>
        <v>1040828.1</v>
      </c>
      <c r="T40" s="43"/>
      <c r="U40" s="56">
        <f t="shared" si="9"/>
        <v>1040828.1</v>
      </c>
      <c r="V40" s="43"/>
      <c r="W40" s="56">
        <f t="shared" si="10"/>
        <v>1040828.1</v>
      </c>
      <c r="X40" s="43"/>
      <c r="Y40" s="56">
        <f t="shared" si="11"/>
        <v>1040828.1</v>
      </c>
      <c r="Z40" s="43">
        <v>12602.900000000023</v>
      </c>
      <c r="AA40" s="56">
        <f t="shared" si="12"/>
        <v>1053431</v>
      </c>
      <c r="AB40" s="43"/>
      <c r="AC40" s="56">
        <f t="shared" si="13"/>
        <v>1053431</v>
      </c>
      <c r="AD40" s="43"/>
      <c r="AE40" s="44">
        <f t="shared" si="26"/>
        <v>1053431</v>
      </c>
      <c r="AF40" s="15">
        <f>Z40</f>
        <v>12602.900000000023</v>
      </c>
      <c r="AG40" s="45"/>
      <c r="AH40" s="9"/>
    </row>
    <row r="41" spans="1:34" ht="27.75" customHeight="1" x14ac:dyDescent="0.25">
      <c r="A41" s="52" t="s">
        <v>245</v>
      </c>
      <c r="B41" s="42" t="s">
        <v>246</v>
      </c>
      <c r="C41" s="13"/>
      <c r="D41" s="43"/>
      <c r="E41" s="56"/>
      <c r="F41" s="43"/>
      <c r="G41" s="56"/>
      <c r="H41" s="43"/>
      <c r="I41" s="56"/>
      <c r="J41" s="43"/>
      <c r="K41" s="56"/>
      <c r="L41" s="43"/>
      <c r="M41" s="56"/>
      <c r="N41" s="43"/>
      <c r="O41" s="56"/>
      <c r="P41" s="43"/>
      <c r="Q41" s="56"/>
      <c r="R41" s="43"/>
      <c r="S41" s="56"/>
      <c r="T41" s="43"/>
      <c r="U41" s="56"/>
      <c r="V41" s="43"/>
      <c r="W41" s="56"/>
      <c r="X41" s="43"/>
      <c r="Y41" s="56"/>
      <c r="Z41" s="43"/>
      <c r="AA41" s="56"/>
      <c r="AB41" s="43"/>
      <c r="AC41" s="56"/>
      <c r="AD41" s="43"/>
      <c r="AE41" s="44"/>
      <c r="AF41" s="15"/>
      <c r="AG41" s="45"/>
      <c r="AH41" s="9"/>
    </row>
    <row r="42" spans="1:34" ht="25.5" x14ac:dyDescent="0.25">
      <c r="A42" s="52" t="s">
        <v>137</v>
      </c>
      <c r="B42" s="42" t="s">
        <v>138</v>
      </c>
      <c r="C42" s="13">
        <v>695469.8</v>
      </c>
      <c r="D42" s="43">
        <v>-1470.7000000000698</v>
      </c>
      <c r="E42" s="56">
        <f t="shared" si="1"/>
        <v>693999.1</v>
      </c>
      <c r="F42" s="43"/>
      <c r="G42" s="56">
        <f t="shared" si="2"/>
        <v>693999.1</v>
      </c>
      <c r="H42" s="43"/>
      <c r="I42" s="56">
        <f t="shared" si="3"/>
        <v>693999.1</v>
      </c>
      <c r="J42" s="43">
        <v>13019.70000000007</v>
      </c>
      <c r="K42" s="56">
        <f t="shared" si="4"/>
        <v>707018.8</v>
      </c>
      <c r="L42" s="43">
        <v>105171.09999999998</v>
      </c>
      <c r="M42" s="56">
        <f t="shared" si="5"/>
        <v>812189.9</v>
      </c>
      <c r="N42" s="43">
        <v>3989.0999999999767</v>
      </c>
      <c r="O42" s="56">
        <f t="shared" si="6"/>
        <v>816179</v>
      </c>
      <c r="P42" s="43"/>
      <c r="Q42" s="56">
        <f t="shared" si="7"/>
        <v>816179</v>
      </c>
      <c r="R42" s="43"/>
      <c r="S42" s="56">
        <f t="shared" si="8"/>
        <v>816179</v>
      </c>
      <c r="T42" s="43">
        <v>12488</v>
      </c>
      <c r="U42" s="56">
        <f t="shared" si="9"/>
        <v>828667</v>
      </c>
      <c r="V42" s="43"/>
      <c r="W42" s="56">
        <f t="shared" si="10"/>
        <v>828667</v>
      </c>
      <c r="X42" s="43">
        <v>112989.80000000005</v>
      </c>
      <c r="Y42" s="56">
        <f t="shared" si="11"/>
        <v>941656.8</v>
      </c>
      <c r="Z42" s="43">
        <v>-25980.400000000023</v>
      </c>
      <c r="AA42" s="56">
        <f t="shared" si="12"/>
        <v>915676.4</v>
      </c>
      <c r="AB42" s="43"/>
      <c r="AC42" s="56">
        <f t="shared" si="13"/>
        <v>915676.4</v>
      </c>
      <c r="AD42" s="43">
        <v>54802.400000000023</v>
      </c>
      <c r="AE42" s="44">
        <f t="shared" si="26"/>
        <v>970478.8</v>
      </c>
      <c r="AF42" s="15">
        <f>D42+J42+L42+N42+T42+X42+Z42+AD42</f>
        <v>275009</v>
      </c>
      <c r="AG42" s="45"/>
      <c r="AH42" s="9"/>
    </row>
    <row r="43" spans="1:34" s="10" customFormat="1" ht="18.75" customHeight="1" x14ac:dyDescent="0.25">
      <c r="A43" s="53" t="s">
        <v>139</v>
      </c>
      <c r="B43" s="23" t="s">
        <v>140</v>
      </c>
      <c r="C43" s="24">
        <f>SUM(C44:C47)</f>
        <v>110268.79999999999</v>
      </c>
      <c r="D43" s="24">
        <f>D44+D45+D46+D47</f>
        <v>-630.39999999999418</v>
      </c>
      <c r="E43" s="24">
        <f t="shared" ref="E43:N43" si="27">E44+E45+E46+E47</f>
        <v>109638.39999999999</v>
      </c>
      <c r="F43" s="24">
        <f t="shared" si="27"/>
        <v>13900.200000000004</v>
      </c>
      <c r="G43" s="24">
        <f t="shared" si="27"/>
        <v>123538.6</v>
      </c>
      <c r="H43" s="24"/>
      <c r="I43" s="24">
        <f t="shared" si="27"/>
        <v>123538.6</v>
      </c>
      <c r="J43" s="24">
        <f t="shared" si="27"/>
        <v>1132.0999999999913</v>
      </c>
      <c r="K43" s="24">
        <f t="shared" si="27"/>
        <v>124670.7</v>
      </c>
      <c r="L43" s="24">
        <f t="shared" si="27"/>
        <v>3071.0999999999985</v>
      </c>
      <c r="M43" s="24">
        <f t="shared" si="27"/>
        <v>127741.79999999999</v>
      </c>
      <c r="N43" s="24">
        <f t="shared" si="27"/>
        <v>71.099999999999994</v>
      </c>
      <c r="O43" s="24">
        <f>O44+O45+O46+O47-0.1</f>
        <v>127812.79999999999</v>
      </c>
      <c r="P43" s="24"/>
      <c r="Q43" s="24">
        <f t="shared" ref="Q43:S43" si="28">Q44+Q45+Q46+Q47-0.1</f>
        <v>127812.79999999999</v>
      </c>
      <c r="R43" s="24"/>
      <c r="S43" s="24">
        <f t="shared" si="28"/>
        <v>127812.79999999999</v>
      </c>
      <c r="T43" s="24">
        <f>T44+T45+T46+T47</f>
        <v>5483</v>
      </c>
      <c r="U43" s="24">
        <f t="shared" ref="U43:Z43" si="29">U44+U45+U46+U47</f>
        <v>133295.9</v>
      </c>
      <c r="V43" s="24">
        <f t="shared" si="29"/>
        <v>522.60000000000582</v>
      </c>
      <c r="W43" s="24">
        <f t="shared" si="29"/>
        <v>133818.5</v>
      </c>
      <c r="X43" s="24">
        <f t="shared" si="29"/>
        <v>206.5</v>
      </c>
      <c r="Y43" s="24">
        <f t="shared" si="29"/>
        <v>134025</v>
      </c>
      <c r="Z43" s="24">
        <f t="shared" si="29"/>
        <v>216.19999999999709</v>
      </c>
      <c r="AA43" s="24">
        <f>AA44+AA45+AA46+AA47+0.1</f>
        <v>134241.30000000002</v>
      </c>
      <c r="AB43" s="24"/>
      <c r="AC43" s="24">
        <f t="shared" ref="AC43" si="30">AC44+AC45+AC46+AC47+0.1</f>
        <v>134241.30000000002</v>
      </c>
      <c r="AD43" s="24">
        <f>AD44+AD45+AD46+AD47</f>
        <v>-3220</v>
      </c>
      <c r="AE43" s="24">
        <f>AE44+AE45+AE46+AE47+0.1</f>
        <v>131021.3</v>
      </c>
      <c r="AF43" s="58">
        <f>AF44+AF45+AF46+AF47+0.1</f>
        <v>20752.5</v>
      </c>
      <c r="AG43" s="45"/>
      <c r="AH43" s="9"/>
    </row>
    <row r="44" spans="1:34" ht="15.75" x14ac:dyDescent="0.25">
      <c r="A44" s="52" t="s">
        <v>141</v>
      </c>
      <c r="B44" s="42" t="s">
        <v>142</v>
      </c>
      <c r="C44" s="13"/>
      <c r="D44" s="43"/>
      <c r="E44" s="56"/>
      <c r="F44" s="43"/>
      <c r="G44" s="56"/>
      <c r="H44" s="43"/>
      <c r="I44" s="56"/>
      <c r="J44" s="43"/>
      <c r="K44" s="56"/>
      <c r="L44" s="43"/>
      <c r="M44" s="56"/>
      <c r="N44" s="43"/>
      <c r="O44" s="56"/>
      <c r="P44" s="43"/>
      <c r="Q44" s="56"/>
      <c r="R44" s="43"/>
      <c r="S44" s="56"/>
      <c r="T44" s="43"/>
      <c r="U44" s="56"/>
      <c r="V44" s="43"/>
      <c r="W44" s="56"/>
      <c r="X44" s="43"/>
      <c r="Y44" s="56"/>
      <c r="Z44" s="43"/>
      <c r="AA44" s="56"/>
      <c r="AB44" s="43"/>
      <c r="AC44" s="56"/>
      <c r="AD44" s="43"/>
      <c r="AE44" s="44"/>
      <c r="AF44" s="15"/>
      <c r="AG44" s="45"/>
      <c r="AH44" s="9"/>
    </row>
    <row r="45" spans="1:34" ht="25.5" x14ac:dyDescent="0.25">
      <c r="A45" s="52" t="s">
        <v>143</v>
      </c>
      <c r="B45" s="42" t="s">
        <v>144</v>
      </c>
      <c r="C45" s="13">
        <v>33486.6</v>
      </c>
      <c r="D45" s="43"/>
      <c r="E45" s="56">
        <f t="shared" si="1"/>
        <v>33486.6</v>
      </c>
      <c r="F45" s="43">
        <v>13900.200000000004</v>
      </c>
      <c r="G45" s="56">
        <f t="shared" si="2"/>
        <v>47386.8</v>
      </c>
      <c r="H45" s="43"/>
      <c r="I45" s="56">
        <f t="shared" si="3"/>
        <v>47386.8</v>
      </c>
      <c r="J45" s="43"/>
      <c r="K45" s="56">
        <f t="shared" si="4"/>
        <v>47386.8</v>
      </c>
      <c r="L45" s="43">
        <v>140.59999999999854</v>
      </c>
      <c r="M45" s="56">
        <f t="shared" si="5"/>
        <v>47527.4</v>
      </c>
      <c r="N45" s="43">
        <v>71.099999999999994</v>
      </c>
      <c r="O45" s="56">
        <f t="shared" si="6"/>
        <v>47598.5</v>
      </c>
      <c r="P45" s="43"/>
      <c r="Q45" s="56">
        <f t="shared" si="7"/>
        <v>47598.5</v>
      </c>
      <c r="R45" s="43"/>
      <c r="S45" s="56">
        <f t="shared" si="8"/>
        <v>47598.5</v>
      </c>
      <c r="T45" s="43">
        <v>5833.6999999999971</v>
      </c>
      <c r="U45" s="56">
        <f t="shared" si="9"/>
        <v>53432.2</v>
      </c>
      <c r="V45" s="43">
        <v>483.5</v>
      </c>
      <c r="W45" s="56">
        <f t="shared" si="10"/>
        <v>53915.7</v>
      </c>
      <c r="X45" s="43">
        <v>206.5</v>
      </c>
      <c r="Y45" s="56">
        <f t="shared" si="11"/>
        <v>54122.2</v>
      </c>
      <c r="Z45" s="43">
        <v>255.30000000000291</v>
      </c>
      <c r="AA45" s="56">
        <f t="shared" si="12"/>
        <v>54377.5</v>
      </c>
      <c r="AB45" s="43"/>
      <c r="AC45" s="56">
        <f t="shared" si="13"/>
        <v>54377.5</v>
      </c>
      <c r="AD45" s="43">
        <v>-3220</v>
      </c>
      <c r="AE45" s="44">
        <f t="shared" ref="AE45:AE47" si="31">AC45+AD45</f>
        <v>51157.5</v>
      </c>
      <c r="AF45" s="15">
        <f>F45+L45+N45+T45+V45+X45+Z45+AD45</f>
        <v>17670.900000000001</v>
      </c>
      <c r="AG45" s="45"/>
      <c r="AH45" s="9"/>
    </row>
    <row r="46" spans="1:34" ht="25.5" x14ac:dyDescent="0.25">
      <c r="A46" s="52" t="s">
        <v>145</v>
      </c>
      <c r="B46" s="42" t="s">
        <v>146</v>
      </c>
      <c r="C46" s="13">
        <v>100</v>
      </c>
      <c r="D46" s="43"/>
      <c r="E46" s="56">
        <f t="shared" si="1"/>
        <v>100</v>
      </c>
      <c r="F46" s="43"/>
      <c r="G46" s="56">
        <f t="shared" si="2"/>
        <v>100</v>
      </c>
      <c r="H46" s="43"/>
      <c r="I46" s="56">
        <f t="shared" si="3"/>
        <v>100</v>
      </c>
      <c r="J46" s="43"/>
      <c r="K46" s="56">
        <f t="shared" si="4"/>
        <v>100</v>
      </c>
      <c r="L46" s="43"/>
      <c r="M46" s="56">
        <f t="shared" si="5"/>
        <v>100</v>
      </c>
      <c r="N46" s="43"/>
      <c r="O46" s="56">
        <f t="shared" si="6"/>
        <v>100</v>
      </c>
      <c r="P46" s="43"/>
      <c r="Q46" s="56">
        <f t="shared" si="7"/>
        <v>100</v>
      </c>
      <c r="R46" s="43"/>
      <c r="S46" s="56">
        <f t="shared" si="8"/>
        <v>100</v>
      </c>
      <c r="T46" s="43"/>
      <c r="U46" s="56">
        <f t="shared" si="9"/>
        <v>100</v>
      </c>
      <c r="V46" s="43"/>
      <c r="W46" s="56">
        <f t="shared" si="10"/>
        <v>100</v>
      </c>
      <c r="X46" s="43"/>
      <c r="Y46" s="56">
        <f t="shared" si="11"/>
        <v>100</v>
      </c>
      <c r="Z46" s="43"/>
      <c r="AA46" s="56">
        <f t="shared" si="12"/>
        <v>100</v>
      </c>
      <c r="AB46" s="43"/>
      <c r="AC46" s="56">
        <f t="shared" si="13"/>
        <v>100</v>
      </c>
      <c r="AD46" s="43"/>
      <c r="AE46" s="44">
        <f t="shared" si="31"/>
        <v>100</v>
      </c>
      <c r="AF46" s="15"/>
      <c r="AG46" s="45"/>
      <c r="AH46" s="9"/>
    </row>
    <row r="47" spans="1:34" ht="18.75" customHeight="1" x14ac:dyDescent="0.25">
      <c r="A47" s="52" t="s">
        <v>147</v>
      </c>
      <c r="B47" s="42" t="s">
        <v>148</v>
      </c>
      <c r="C47" s="13">
        <v>76682.2</v>
      </c>
      <c r="D47" s="43">
        <v>-630.39999999999418</v>
      </c>
      <c r="E47" s="56">
        <f t="shared" si="1"/>
        <v>76051.8</v>
      </c>
      <c r="F47" s="43"/>
      <c r="G47" s="56">
        <f t="shared" si="2"/>
        <v>76051.8</v>
      </c>
      <c r="H47" s="43"/>
      <c r="I47" s="56">
        <f t="shared" si="3"/>
        <v>76051.8</v>
      </c>
      <c r="J47" s="43">
        <v>1132.0999999999913</v>
      </c>
      <c r="K47" s="56">
        <f t="shared" si="4"/>
        <v>77183.899999999994</v>
      </c>
      <c r="L47" s="43">
        <v>2930.5</v>
      </c>
      <c r="M47" s="56">
        <f t="shared" si="5"/>
        <v>80114.399999999994</v>
      </c>
      <c r="N47" s="43"/>
      <c r="O47" s="56">
        <f t="shared" si="6"/>
        <v>80114.399999999994</v>
      </c>
      <c r="P47" s="43"/>
      <c r="Q47" s="56">
        <f t="shared" si="7"/>
        <v>80114.399999999994</v>
      </c>
      <c r="R47" s="43"/>
      <c r="S47" s="56">
        <f t="shared" si="8"/>
        <v>80114.399999999994</v>
      </c>
      <c r="T47" s="43">
        <v>-350.69999999999709</v>
      </c>
      <c r="U47" s="56">
        <f t="shared" si="9"/>
        <v>79763.7</v>
      </c>
      <c r="V47" s="43">
        <v>39.100000000005821</v>
      </c>
      <c r="W47" s="56">
        <f t="shared" si="10"/>
        <v>79802.8</v>
      </c>
      <c r="X47" s="43"/>
      <c r="Y47" s="56">
        <f t="shared" si="11"/>
        <v>79802.8</v>
      </c>
      <c r="Z47" s="43">
        <v>-39.100000000005821</v>
      </c>
      <c r="AA47" s="56">
        <f t="shared" si="12"/>
        <v>79763.7</v>
      </c>
      <c r="AB47" s="43"/>
      <c r="AC47" s="56">
        <f t="shared" si="13"/>
        <v>79763.7</v>
      </c>
      <c r="AD47" s="43"/>
      <c r="AE47" s="44">
        <f t="shared" si="31"/>
        <v>79763.7</v>
      </c>
      <c r="AF47" s="15">
        <f>D47+J47+L47+T47+V47+Z47</f>
        <v>3081.5</v>
      </c>
      <c r="AG47" s="45"/>
      <c r="AH47" s="9"/>
    </row>
    <row r="48" spans="1:34" s="10" customFormat="1" ht="15.75" x14ac:dyDescent="0.25">
      <c r="A48" s="53" t="s">
        <v>149</v>
      </c>
      <c r="B48" s="23" t="s">
        <v>150</v>
      </c>
      <c r="C48" s="24">
        <f>SUM(C49:C56)</f>
        <v>39681060.100000001</v>
      </c>
      <c r="D48" s="24">
        <f t="shared" ref="D48:AD48" si="32">SUM(D49:D56)</f>
        <v>90681.90000000177</v>
      </c>
      <c r="E48" s="24">
        <f t="shared" si="32"/>
        <v>39771742.000000007</v>
      </c>
      <c r="F48" s="24">
        <f t="shared" si="32"/>
        <v>3043632.9000000004</v>
      </c>
      <c r="G48" s="24">
        <f>SUM(G49:G56)</f>
        <v>42815374.899999991</v>
      </c>
      <c r="H48" s="24">
        <f t="shared" si="32"/>
        <v>2353771.7000000002</v>
      </c>
      <c r="I48" s="24">
        <f t="shared" si="32"/>
        <v>45169146.599999994</v>
      </c>
      <c r="J48" s="24">
        <f t="shared" si="32"/>
        <v>-554206.00000000279</v>
      </c>
      <c r="K48" s="24">
        <f t="shared" si="32"/>
        <v>44614940.599999994</v>
      </c>
      <c r="L48" s="24">
        <f t="shared" si="32"/>
        <v>534141.60000000335</v>
      </c>
      <c r="M48" s="24">
        <f t="shared" si="32"/>
        <v>45149082.200000003</v>
      </c>
      <c r="N48" s="24">
        <f t="shared" si="32"/>
        <v>277988.29999999807</v>
      </c>
      <c r="O48" s="24">
        <f t="shared" si="32"/>
        <v>45427070.499999993</v>
      </c>
      <c r="P48" s="24">
        <f t="shared" si="32"/>
        <v>143934.99999999889</v>
      </c>
      <c r="Q48" s="24">
        <f t="shared" si="32"/>
        <v>45571005.5</v>
      </c>
      <c r="R48" s="24"/>
      <c r="S48" s="24">
        <f t="shared" si="32"/>
        <v>45571005.5</v>
      </c>
      <c r="T48" s="24">
        <f t="shared" si="32"/>
        <v>332875.40000000061</v>
      </c>
      <c r="U48" s="24">
        <f t="shared" si="32"/>
        <v>45903880.899999999</v>
      </c>
      <c r="V48" s="24">
        <f t="shared" si="32"/>
        <v>603949.90000000165</v>
      </c>
      <c r="W48" s="24">
        <f>SUM(W49:W56)-0.1</f>
        <v>46507830.699999988</v>
      </c>
      <c r="X48" s="24">
        <f t="shared" si="32"/>
        <v>80493.899999998976</v>
      </c>
      <c r="Y48" s="24">
        <f>SUM(Y49:Y56)+0.1</f>
        <v>46588324.79999999</v>
      </c>
      <c r="Z48" s="24">
        <f t="shared" si="32"/>
        <v>930318.39999999991</v>
      </c>
      <c r="AA48" s="24">
        <f t="shared" si="32"/>
        <v>47518643.100000001</v>
      </c>
      <c r="AB48" s="24">
        <f t="shared" si="32"/>
        <v>-23909.300000002142</v>
      </c>
      <c r="AC48" s="24">
        <f t="shared" si="32"/>
        <v>47494733.799999997</v>
      </c>
      <c r="AD48" s="24">
        <f t="shared" si="32"/>
        <v>-297488.39999999967</v>
      </c>
      <c r="AE48" s="24">
        <f>SUM(AE49:AE56)</f>
        <v>47197245.399999999</v>
      </c>
      <c r="AF48" s="58">
        <f>SUM(AF49:AF56)</f>
        <v>7516185.2999999989</v>
      </c>
      <c r="AG48" s="45"/>
      <c r="AH48" s="9"/>
    </row>
    <row r="49" spans="1:34" ht="15" customHeight="1" x14ac:dyDescent="0.25">
      <c r="A49" s="52" t="s">
        <v>151</v>
      </c>
      <c r="B49" s="42" t="s">
        <v>152</v>
      </c>
      <c r="C49" s="13">
        <v>6081141.0999999996</v>
      </c>
      <c r="D49" s="43">
        <v>-59117.099999999627</v>
      </c>
      <c r="E49" s="56">
        <f t="shared" si="1"/>
        <v>6022024</v>
      </c>
      <c r="F49" s="43">
        <v>750728.29999999981</v>
      </c>
      <c r="G49" s="56">
        <f t="shared" si="2"/>
        <v>6772752.2999999998</v>
      </c>
      <c r="H49" s="43">
        <v>253771.70000000019</v>
      </c>
      <c r="I49" s="56">
        <f t="shared" si="3"/>
        <v>7026524</v>
      </c>
      <c r="J49" s="43"/>
      <c r="K49" s="56">
        <f t="shared" si="4"/>
        <v>7026524</v>
      </c>
      <c r="L49" s="43">
        <v>5903</v>
      </c>
      <c r="M49" s="56">
        <f t="shared" si="5"/>
        <v>7032427</v>
      </c>
      <c r="N49" s="43"/>
      <c r="O49" s="56">
        <f t="shared" si="6"/>
        <v>7032427</v>
      </c>
      <c r="P49" s="43"/>
      <c r="Q49" s="56">
        <f t="shared" si="7"/>
        <v>7032427</v>
      </c>
      <c r="R49" s="43"/>
      <c r="S49" s="56">
        <f t="shared" si="8"/>
        <v>7032427</v>
      </c>
      <c r="T49" s="43">
        <v>-23</v>
      </c>
      <c r="U49" s="56">
        <f t="shared" si="9"/>
        <v>7032404</v>
      </c>
      <c r="V49" s="43">
        <v>-246.20000000018626</v>
      </c>
      <c r="W49" s="56">
        <f t="shared" si="10"/>
        <v>7032157.7999999998</v>
      </c>
      <c r="X49" s="43">
        <v>11067.100000000559</v>
      </c>
      <c r="Y49" s="56">
        <f t="shared" si="11"/>
        <v>7043224.9000000004</v>
      </c>
      <c r="Z49" s="43">
        <v>612171.09999999963</v>
      </c>
      <c r="AA49" s="56">
        <f t="shared" si="12"/>
        <v>7655396</v>
      </c>
      <c r="AB49" s="43">
        <v>-36370.400000000373</v>
      </c>
      <c r="AC49" s="56">
        <f t="shared" si="13"/>
        <v>7619025.5999999996</v>
      </c>
      <c r="AD49" s="43">
        <v>-1893.7999999998137</v>
      </c>
      <c r="AE49" s="44">
        <f>AC49+AD49</f>
        <v>7617131.7999999998</v>
      </c>
      <c r="AF49" s="15">
        <f>D49+F49+H49+L49+T49+V49+X49+Z49+AB49+AD49</f>
        <v>1535990.7000000002</v>
      </c>
      <c r="AG49" s="45"/>
      <c r="AH49" s="9"/>
    </row>
    <row r="50" spans="1:34" ht="14.25" customHeight="1" x14ac:dyDescent="0.25">
      <c r="A50" s="52" t="s">
        <v>153</v>
      </c>
      <c r="B50" s="42" t="s">
        <v>154</v>
      </c>
      <c r="C50" s="13">
        <v>26076905.199999999</v>
      </c>
      <c r="D50" s="43">
        <v>31506.60000000149</v>
      </c>
      <c r="E50" s="56">
        <f t="shared" si="1"/>
        <v>26108411.800000001</v>
      </c>
      <c r="F50" s="43">
        <v>1782754.8000000007</v>
      </c>
      <c r="G50" s="56">
        <f t="shared" si="2"/>
        <v>27891166.600000001</v>
      </c>
      <c r="H50" s="43">
        <v>2100000</v>
      </c>
      <c r="I50" s="56">
        <f t="shared" si="3"/>
        <v>29991166.600000001</v>
      </c>
      <c r="J50" s="43">
        <v>-1044403.200000003</v>
      </c>
      <c r="K50" s="56">
        <f t="shared" si="4"/>
        <v>28946763.399999999</v>
      </c>
      <c r="L50" s="43">
        <v>502919.20000000298</v>
      </c>
      <c r="M50" s="56">
        <f t="shared" si="5"/>
        <v>29449682.600000001</v>
      </c>
      <c r="N50" s="43">
        <v>245926.39999999851</v>
      </c>
      <c r="O50" s="56">
        <f t="shared" si="6"/>
        <v>29695609</v>
      </c>
      <c r="P50" s="43">
        <v>137669.89999999851</v>
      </c>
      <c r="Q50" s="56">
        <f t="shared" si="7"/>
        <v>29833278.899999999</v>
      </c>
      <c r="R50" s="43"/>
      <c r="S50" s="56">
        <f t="shared" si="8"/>
        <v>29833278.899999999</v>
      </c>
      <c r="T50" s="43">
        <v>108486.80000000075</v>
      </c>
      <c r="U50" s="56">
        <f t="shared" si="9"/>
        <v>29941765.699999999</v>
      </c>
      <c r="V50" s="43">
        <v>533105.90000000224</v>
      </c>
      <c r="W50" s="56">
        <f t="shared" si="10"/>
        <v>30474871.600000001</v>
      </c>
      <c r="X50" s="43">
        <v>46073.89999999851</v>
      </c>
      <c r="Y50" s="56">
        <f t="shared" si="11"/>
        <v>30520945.5</v>
      </c>
      <c r="Z50" s="43">
        <v>212311.5</v>
      </c>
      <c r="AA50" s="56">
        <f t="shared" si="12"/>
        <v>30733257</v>
      </c>
      <c r="AB50" s="43">
        <v>10870.39999999851</v>
      </c>
      <c r="AC50" s="56">
        <f t="shared" si="13"/>
        <v>30744127.399999999</v>
      </c>
      <c r="AD50" s="43">
        <v>-326037</v>
      </c>
      <c r="AE50" s="44">
        <f t="shared" ref="AE50:AE56" si="33">AC50+AD50</f>
        <v>30418090.399999999</v>
      </c>
      <c r="AF50" s="15">
        <f>D50+F50+H50+J50+L50+N50+P50+T50+V50+X50+Z50+AB50+AD50</f>
        <v>4341185.1999999993</v>
      </c>
      <c r="AG50" s="45"/>
      <c r="AH50" s="9"/>
    </row>
    <row r="51" spans="1:34" ht="16.5" customHeight="1" x14ac:dyDescent="0.25">
      <c r="A51" s="52" t="s">
        <v>155</v>
      </c>
      <c r="B51" s="42" t="s">
        <v>156</v>
      </c>
      <c r="C51" s="13">
        <v>1360171.6</v>
      </c>
      <c r="D51" s="43">
        <v>24750.5</v>
      </c>
      <c r="E51" s="56">
        <f t="shared" si="1"/>
        <v>1384922.1</v>
      </c>
      <c r="F51" s="43">
        <v>111718.79999999981</v>
      </c>
      <c r="G51" s="56">
        <f t="shared" si="2"/>
        <v>1496640.9</v>
      </c>
      <c r="H51" s="43"/>
      <c r="I51" s="56">
        <f t="shared" si="3"/>
        <v>1496640.9</v>
      </c>
      <c r="J51" s="43">
        <v>139444.90000000014</v>
      </c>
      <c r="K51" s="56">
        <f t="shared" si="4"/>
        <v>1636085.8</v>
      </c>
      <c r="L51" s="43">
        <v>-1934.5</v>
      </c>
      <c r="M51" s="56">
        <f t="shared" si="5"/>
        <v>1634151.3</v>
      </c>
      <c r="N51" s="43">
        <v>-627.80000000004657</v>
      </c>
      <c r="O51" s="56">
        <f t="shared" si="6"/>
        <v>1633523.5</v>
      </c>
      <c r="P51" s="43"/>
      <c r="Q51" s="56">
        <f t="shared" si="7"/>
        <v>1633523.5</v>
      </c>
      <c r="R51" s="43"/>
      <c r="S51" s="56">
        <f t="shared" si="8"/>
        <v>1633523.5</v>
      </c>
      <c r="T51" s="43">
        <v>16632.800000000047</v>
      </c>
      <c r="U51" s="56">
        <f t="shared" si="9"/>
        <v>1650156.3</v>
      </c>
      <c r="V51" s="43">
        <v>17616</v>
      </c>
      <c r="W51" s="56">
        <f t="shared" si="10"/>
        <v>1667772.3</v>
      </c>
      <c r="X51" s="43">
        <v>4380.0999999998603</v>
      </c>
      <c r="Y51" s="56">
        <f t="shared" si="11"/>
        <v>1672152.4</v>
      </c>
      <c r="Z51" s="43">
        <v>35856.600000000093</v>
      </c>
      <c r="AA51" s="56">
        <f t="shared" si="12"/>
        <v>1708009</v>
      </c>
      <c r="AB51" s="43"/>
      <c r="AC51" s="56">
        <f t="shared" si="13"/>
        <v>1708009</v>
      </c>
      <c r="AD51" s="43">
        <v>-34531.199999999953</v>
      </c>
      <c r="AE51" s="44">
        <f t="shared" si="33"/>
        <v>1673477.8</v>
      </c>
      <c r="AF51" s="15">
        <f>D51+F51+J51+L51+N51+T51+V51+X51+Z51+AD51</f>
        <v>313306.19999999995</v>
      </c>
      <c r="AG51" s="45"/>
      <c r="AH51" s="9"/>
    </row>
    <row r="52" spans="1:34" ht="12" customHeight="1" x14ac:dyDescent="0.25">
      <c r="A52" s="52" t="s">
        <v>157</v>
      </c>
      <c r="B52" s="42" t="s">
        <v>158</v>
      </c>
      <c r="C52" s="13">
        <v>3809639.9</v>
      </c>
      <c r="D52" s="43">
        <v>-2019</v>
      </c>
      <c r="E52" s="56">
        <f t="shared" si="1"/>
        <v>3807620.9</v>
      </c>
      <c r="F52" s="43">
        <v>167346.89999999991</v>
      </c>
      <c r="G52" s="56">
        <f t="shared" si="2"/>
        <v>3974967.8</v>
      </c>
      <c r="H52" s="43"/>
      <c r="I52" s="56">
        <f t="shared" si="3"/>
        <v>3974967.8</v>
      </c>
      <c r="J52" s="43">
        <v>24301.100000000093</v>
      </c>
      <c r="K52" s="56">
        <f t="shared" si="4"/>
        <v>3999268.9</v>
      </c>
      <c r="L52" s="43">
        <v>2389.8000000002794</v>
      </c>
      <c r="M52" s="56">
        <f t="shared" si="5"/>
        <v>4001658.7</v>
      </c>
      <c r="N52" s="43">
        <v>18099.599999999627</v>
      </c>
      <c r="O52" s="56">
        <f t="shared" si="6"/>
        <v>4019758.3</v>
      </c>
      <c r="P52" s="43">
        <v>6073.4000000003725</v>
      </c>
      <c r="Q52" s="56">
        <f t="shared" si="7"/>
        <v>4025831.7</v>
      </c>
      <c r="R52" s="43"/>
      <c r="S52" s="56">
        <f t="shared" si="8"/>
        <v>4025831.7</v>
      </c>
      <c r="T52" s="43">
        <v>65813.199999999721</v>
      </c>
      <c r="U52" s="56">
        <f t="shared" si="9"/>
        <v>4091644.9</v>
      </c>
      <c r="V52" s="43">
        <v>35275.5</v>
      </c>
      <c r="W52" s="56">
        <f t="shared" si="10"/>
        <v>4126920.4</v>
      </c>
      <c r="X52" s="43">
        <v>11073.399999999907</v>
      </c>
      <c r="Y52" s="56">
        <f t="shared" si="11"/>
        <v>4137993.8</v>
      </c>
      <c r="Z52" s="43">
        <v>64991.5</v>
      </c>
      <c r="AA52" s="56">
        <f t="shared" si="12"/>
        <v>4202985.3</v>
      </c>
      <c r="AB52" s="43"/>
      <c r="AC52" s="56">
        <f t="shared" si="13"/>
        <v>4202985.3</v>
      </c>
      <c r="AD52" s="43">
        <v>27521.799999999814</v>
      </c>
      <c r="AE52" s="44">
        <f t="shared" si="33"/>
        <v>4230507.0999999996</v>
      </c>
      <c r="AF52" s="15">
        <f>D52+F52+J52+L52+N52+P52+T52+V52+X52+Z52+AD52</f>
        <v>420867.19999999972</v>
      </c>
      <c r="AG52" s="45"/>
      <c r="AH52" s="9"/>
    </row>
    <row r="53" spans="1:34" ht="25.5" x14ac:dyDescent="0.25">
      <c r="A53" s="52" t="s">
        <v>159</v>
      </c>
      <c r="B53" s="42" t="s">
        <v>160</v>
      </c>
      <c r="C53" s="13">
        <v>263308.59999999998</v>
      </c>
      <c r="D53" s="43">
        <v>-50</v>
      </c>
      <c r="E53" s="56">
        <f t="shared" si="1"/>
        <v>263258.59999999998</v>
      </c>
      <c r="F53" s="43">
        <v>240.10000000003492</v>
      </c>
      <c r="G53" s="56">
        <f t="shared" si="2"/>
        <v>263498.7</v>
      </c>
      <c r="H53" s="43"/>
      <c r="I53" s="56">
        <f t="shared" si="3"/>
        <v>263498.7</v>
      </c>
      <c r="J53" s="43">
        <v>13834.099999999977</v>
      </c>
      <c r="K53" s="56">
        <f t="shared" si="4"/>
        <v>277332.8</v>
      </c>
      <c r="L53" s="43"/>
      <c r="M53" s="56">
        <f t="shared" si="5"/>
        <v>277332.8</v>
      </c>
      <c r="N53" s="43">
        <v>130.5</v>
      </c>
      <c r="O53" s="56">
        <f t="shared" si="6"/>
        <v>277463.3</v>
      </c>
      <c r="P53" s="43">
        <v>191.70000000001164</v>
      </c>
      <c r="Q53" s="56">
        <f t="shared" si="7"/>
        <v>277655</v>
      </c>
      <c r="R53" s="43"/>
      <c r="S53" s="56">
        <f t="shared" si="8"/>
        <v>277655</v>
      </c>
      <c r="T53" s="43">
        <v>-4783</v>
      </c>
      <c r="U53" s="56">
        <f t="shared" si="9"/>
        <v>272872</v>
      </c>
      <c r="V53" s="43">
        <v>-3228.9000000000233</v>
      </c>
      <c r="W53" s="56">
        <f t="shared" si="10"/>
        <v>269643.09999999998</v>
      </c>
      <c r="X53" s="43">
        <v>-90.699999999953434</v>
      </c>
      <c r="Y53" s="56">
        <f t="shared" si="11"/>
        <v>269552.40000000002</v>
      </c>
      <c r="Z53" s="43">
        <v>-120.90000000002328</v>
      </c>
      <c r="AA53" s="56">
        <f t="shared" si="12"/>
        <v>269431.5</v>
      </c>
      <c r="AB53" s="43">
        <v>-3</v>
      </c>
      <c r="AC53" s="56">
        <f t="shared" si="13"/>
        <v>269428.5</v>
      </c>
      <c r="AD53" s="43">
        <v>5231.5999999999767</v>
      </c>
      <c r="AE53" s="44">
        <f t="shared" si="33"/>
        <v>274660.09999999998</v>
      </c>
      <c r="AF53" s="15">
        <f>D53+F53+J53+N53+P53+T53+V53+X53+Z53+AB53+AD53</f>
        <v>11351.5</v>
      </c>
      <c r="AG53" s="45"/>
      <c r="AH53" s="9"/>
    </row>
    <row r="54" spans="1:34" ht="14.25" customHeight="1" x14ac:dyDescent="0.25">
      <c r="A54" s="52" t="s">
        <v>161</v>
      </c>
      <c r="B54" s="42" t="s">
        <v>162</v>
      </c>
      <c r="C54" s="13">
        <v>173213.2</v>
      </c>
      <c r="D54" s="43"/>
      <c r="E54" s="56">
        <f t="shared" si="1"/>
        <v>173213.2</v>
      </c>
      <c r="F54" s="43">
        <v>201463.59999999998</v>
      </c>
      <c r="G54" s="56">
        <f t="shared" si="2"/>
        <v>374676.8</v>
      </c>
      <c r="H54" s="43"/>
      <c r="I54" s="56">
        <f t="shared" si="3"/>
        <v>374676.8</v>
      </c>
      <c r="J54" s="43">
        <v>27067.900000000023</v>
      </c>
      <c r="K54" s="56">
        <f t="shared" si="4"/>
        <v>401744.7</v>
      </c>
      <c r="L54" s="43">
        <v>25</v>
      </c>
      <c r="M54" s="56">
        <f t="shared" si="5"/>
        <v>401769.7</v>
      </c>
      <c r="N54" s="43">
        <v>14459.599999999977</v>
      </c>
      <c r="O54" s="56">
        <f t="shared" si="6"/>
        <v>416229.3</v>
      </c>
      <c r="P54" s="43"/>
      <c r="Q54" s="56">
        <f t="shared" si="7"/>
        <v>416229.3</v>
      </c>
      <c r="R54" s="43"/>
      <c r="S54" s="56">
        <f t="shared" si="8"/>
        <v>416229.3</v>
      </c>
      <c r="T54" s="43">
        <v>35049</v>
      </c>
      <c r="U54" s="56">
        <f t="shared" si="9"/>
        <v>451278.3</v>
      </c>
      <c r="V54" s="43"/>
      <c r="W54" s="56">
        <f t="shared" si="10"/>
        <v>451278.3</v>
      </c>
      <c r="X54" s="43">
        <v>1500</v>
      </c>
      <c r="Y54" s="56">
        <f t="shared" si="11"/>
        <v>452778.3</v>
      </c>
      <c r="Z54" s="43">
        <v>-844.20000000001164</v>
      </c>
      <c r="AA54" s="56">
        <f t="shared" si="12"/>
        <v>451934.1</v>
      </c>
      <c r="AB54" s="43"/>
      <c r="AC54" s="56">
        <f t="shared" si="13"/>
        <v>451934.1</v>
      </c>
      <c r="AD54" s="43">
        <v>743.90000000002328</v>
      </c>
      <c r="AE54" s="44">
        <f t="shared" si="33"/>
        <v>452678</v>
      </c>
      <c r="AF54" s="15">
        <f>F54+J54+L54+N54+T54+X54+Z54+AD54</f>
        <v>279464.8</v>
      </c>
      <c r="AG54" s="45"/>
      <c r="AH54" s="9"/>
    </row>
    <row r="55" spans="1:34" ht="26.25" customHeight="1" x14ac:dyDescent="0.25">
      <c r="A55" s="52" t="s">
        <v>258</v>
      </c>
      <c r="B55" s="42" t="s">
        <v>259</v>
      </c>
      <c r="C55" s="13"/>
      <c r="D55" s="43"/>
      <c r="E55" s="56"/>
      <c r="F55" s="43"/>
      <c r="G55" s="56"/>
      <c r="H55" s="43"/>
      <c r="I55" s="56"/>
      <c r="J55" s="43"/>
      <c r="K55" s="56"/>
      <c r="L55" s="43"/>
      <c r="M55" s="56"/>
      <c r="N55" s="43"/>
      <c r="O55" s="56"/>
      <c r="P55" s="43"/>
      <c r="Q55" s="56"/>
      <c r="R55" s="43"/>
      <c r="S55" s="56"/>
      <c r="T55" s="43">
        <v>100000</v>
      </c>
      <c r="U55" s="56">
        <f t="shared" si="9"/>
        <v>100000</v>
      </c>
      <c r="V55" s="43"/>
      <c r="W55" s="56">
        <f t="shared" si="10"/>
        <v>100000</v>
      </c>
      <c r="X55" s="43"/>
      <c r="Y55" s="56">
        <f t="shared" si="11"/>
        <v>100000</v>
      </c>
      <c r="Z55" s="43"/>
      <c r="AA55" s="56">
        <f t="shared" si="12"/>
        <v>100000</v>
      </c>
      <c r="AB55" s="43"/>
      <c r="AC55" s="56">
        <f t="shared" si="13"/>
        <v>100000</v>
      </c>
      <c r="AD55" s="43"/>
      <c r="AE55" s="44">
        <f t="shared" si="33"/>
        <v>100000</v>
      </c>
      <c r="AF55" s="15">
        <f>T55</f>
        <v>100000</v>
      </c>
      <c r="AG55" s="45"/>
      <c r="AH55" s="9"/>
    </row>
    <row r="56" spans="1:34" ht="12.75" customHeight="1" x14ac:dyDescent="0.25">
      <c r="A56" s="52" t="s">
        <v>163</v>
      </c>
      <c r="B56" s="42" t="s">
        <v>164</v>
      </c>
      <c r="C56" s="13">
        <v>1916680.5</v>
      </c>
      <c r="D56" s="43">
        <v>95610.899999999907</v>
      </c>
      <c r="E56" s="56">
        <f t="shared" si="1"/>
        <v>2012291.4</v>
      </c>
      <c r="F56" s="43">
        <v>29380.40000000014</v>
      </c>
      <c r="G56" s="56">
        <f t="shared" si="2"/>
        <v>2041671.8</v>
      </c>
      <c r="H56" s="43"/>
      <c r="I56" s="56">
        <f t="shared" si="3"/>
        <v>2041671.8</v>
      </c>
      <c r="J56" s="43">
        <v>285549.19999999995</v>
      </c>
      <c r="K56" s="56">
        <f t="shared" si="4"/>
        <v>2327221</v>
      </c>
      <c r="L56" s="43">
        <v>24839.100000000093</v>
      </c>
      <c r="M56" s="56">
        <f t="shared" si="5"/>
        <v>2352060.1</v>
      </c>
      <c r="N56" s="43"/>
      <c r="O56" s="56">
        <f t="shared" si="6"/>
        <v>2352060.1</v>
      </c>
      <c r="P56" s="43"/>
      <c r="Q56" s="56">
        <f t="shared" si="7"/>
        <v>2352060.1</v>
      </c>
      <c r="R56" s="43"/>
      <c r="S56" s="56">
        <f t="shared" si="8"/>
        <v>2352060.1</v>
      </c>
      <c r="T56" s="43">
        <v>11699.600000000093</v>
      </c>
      <c r="U56" s="56">
        <f t="shared" si="9"/>
        <v>2363759.7000000002</v>
      </c>
      <c r="V56" s="43">
        <v>21427.599999999627</v>
      </c>
      <c r="W56" s="56">
        <f t="shared" si="10"/>
        <v>2385187.2999999998</v>
      </c>
      <c r="X56" s="43">
        <v>6490.1000000000931</v>
      </c>
      <c r="Y56" s="56">
        <f t="shared" si="11"/>
        <v>2391677.4</v>
      </c>
      <c r="Z56" s="43">
        <v>5952.8000000002794</v>
      </c>
      <c r="AA56" s="56">
        <f t="shared" si="12"/>
        <v>2397630.2000000002</v>
      </c>
      <c r="AB56" s="43">
        <v>1593.6999999997206</v>
      </c>
      <c r="AC56" s="56">
        <f t="shared" si="13"/>
        <v>2399223.9</v>
      </c>
      <c r="AD56" s="43">
        <v>31476.300000000279</v>
      </c>
      <c r="AE56" s="44">
        <f t="shared" si="33"/>
        <v>2430700.2000000002</v>
      </c>
      <c r="AF56" s="15">
        <f>D56+F56+J56+L56+T56+V56+X56+Z56+AB56+AD56</f>
        <v>514019.70000000019</v>
      </c>
      <c r="AG56" s="45"/>
      <c r="AH56" s="9"/>
    </row>
    <row r="57" spans="1:34" s="10" customFormat="1" ht="21" customHeight="1" x14ac:dyDescent="0.25">
      <c r="A57" s="53" t="s">
        <v>165</v>
      </c>
      <c r="B57" s="23" t="s">
        <v>166</v>
      </c>
      <c r="C57" s="24">
        <f>SUM(C58:C59)</f>
        <v>2692663.6999999997</v>
      </c>
      <c r="D57" s="24">
        <f t="shared" ref="D57:AF57" si="34">SUM(D58:D59)</f>
        <v>118485.30000000028</v>
      </c>
      <c r="E57" s="24">
        <f t="shared" si="34"/>
        <v>2811149</v>
      </c>
      <c r="F57" s="24">
        <f t="shared" si="34"/>
        <v>438124.39999999991</v>
      </c>
      <c r="G57" s="24">
        <f t="shared" si="34"/>
        <v>3249273.4</v>
      </c>
      <c r="H57" s="24"/>
      <c r="I57" s="24">
        <f t="shared" si="34"/>
        <v>3249273.4</v>
      </c>
      <c r="J57" s="24">
        <f t="shared" si="34"/>
        <v>58655.899999999907</v>
      </c>
      <c r="K57" s="24">
        <f t="shared" si="34"/>
        <v>3307929.3</v>
      </c>
      <c r="L57" s="24">
        <f t="shared" si="34"/>
        <v>60839</v>
      </c>
      <c r="M57" s="24">
        <f t="shared" si="34"/>
        <v>3368768.3</v>
      </c>
      <c r="N57" s="24">
        <f t="shared" si="34"/>
        <v>5623.2000000001863</v>
      </c>
      <c r="O57" s="24">
        <f t="shared" si="34"/>
        <v>3374391.5</v>
      </c>
      <c r="P57" s="24">
        <f t="shared" si="34"/>
        <v>34868.799999999814</v>
      </c>
      <c r="Q57" s="24">
        <f t="shared" si="34"/>
        <v>3409260.3</v>
      </c>
      <c r="R57" s="24"/>
      <c r="S57" s="24">
        <f t="shared" si="34"/>
        <v>3409260.3</v>
      </c>
      <c r="T57" s="24">
        <f t="shared" si="34"/>
        <v>-187612.69999999972</v>
      </c>
      <c r="U57" s="24">
        <f t="shared" si="34"/>
        <v>3221647.6</v>
      </c>
      <c r="V57" s="24">
        <f t="shared" si="34"/>
        <v>-28180.500000000364</v>
      </c>
      <c r="W57" s="24">
        <f t="shared" si="34"/>
        <v>3193467.0999999996</v>
      </c>
      <c r="X57" s="24">
        <f t="shared" si="34"/>
        <v>4143.7000000001863</v>
      </c>
      <c r="Y57" s="24">
        <f t="shared" si="34"/>
        <v>3197610.8</v>
      </c>
      <c r="Z57" s="24">
        <f t="shared" si="34"/>
        <v>-11546.5</v>
      </c>
      <c r="AA57" s="24">
        <f t="shared" si="34"/>
        <v>3186064.3</v>
      </c>
      <c r="AB57" s="24">
        <f t="shared" si="34"/>
        <v>-15625.799999999814</v>
      </c>
      <c r="AC57" s="24">
        <f t="shared" si="34"/>
        <v>3170438.5</v>
      </c>
      <c r="AD57" s="24">
        <f t="shared" si="34"/>
        <v>-5292.6000000000931</v>
      </c>
      <c r="AE57" s="24">
        <f t="shared" si="34"/>
        <v>3165145.9</v>
      </c>
      <c r="AF57" s="58">
        <f t="shared" si="34"/>
        <v>472482.2000000003</v>
      </c>
      <c r="AG57" s="45"/>
      <c r="AH57" s="9"/>
    </row>
    <row r="58" spans="1:34" ht="18" customHeight="1" x14ac:dyDescent="0.25">
      <c r="A58" s="52" t="s">
        <v>167</v>
      </c>
      <c r="B58" s="42" t="s">
        <v>168</v>
      </c>
      <c r="C58" s="13">
        <v>2592161.7999999998</v>
      </c>
      <c r="D58" s="43">
        <v>119322.30000000028</v>
      </c>
      <c r="E58" s="56">
        <f t="shared" si="1"/>
        <v>2711484.1</v>
      </c>
      <c r="F58" s="43">
        <v>438124.39999999991</v>
      </c>
      <c r="G58" s="56">
        <f t="shared" si="2"/>
        <v>3149608.5</v>
      </c>
      <c r="H58" s="43"/>
      <c r="I58" s="56">
        <f t="shared" si="3"/>
        <v>3149608.5</v>
      </c>
      <c r="J58" s="43">
        <v>58655.899999999907</v>
      </c>
      <c r="K58" s="56">
        <f t="shared" si="4"/>
        <v>3208264.4</v>
      </c>
      <c r="L58" s="43">
        <v>60839</v>
      </c>
      <c r="M58" s="56">
        <f t="shared" si="5"/>
        <v>3269103.4</v>
      </c>
      <c r="N58" s="43">
        <v>5686.2000000001863</v>
      </c>
      <c r="O58" s="56">
        <f t="shared" si="6"/>
        <v>3274789.6</v>
      </c>
      <c r="P58" s="43">
        <v>34868.799999999814</v>
      </c>
      <c r="Q58" s="56">
        <f t="shared" si="7"/>
        <v>3309658.4</v>
      </c>
      <c r="R58" s="43"/>
      <c r="S58" s="56">
        <f t="shared" si="8"/>
        <v>3309658.4</v>
      </c>
      <c r="T58" s="43">
        <v>-188656.69999999972</v>
      </c>
      <c r="U58" s="56">
        <f t="shared" si="9"/>
        <v>3121001.7</v>
      </c>
      <c r="V58" s="43">
        <v>-28182.400000000373</v>
      </c>
      <c r="W58" s="56">
        <f t="shared" si="10"/>
        <v>3092819.3</v>
      </c>
      <c r="X58" s="43">
        <v>4143.7000000001863</v>
      </c>
      <c r="Y58" s="56">
        <f t="shared" si="11"/>
        <v>3096963</v>
      </c>
      <c r="Z58" s="43">
        <v>-11546.5</v>
      </c>
      <c r="AA58" s="56">
        <f t="shared" si="12"/>
        <v>3085416.5</v>
      </c>
      <c r="AB58" s="43">
        <v>-15625.799999999814</v>
      </c>
      <c r="AC58" s="56">
        <f t="shared" si="13"/>
        <v>3069790.7</v>
      </c>
      <c r="AD58" s="43">
        <v>-5292.6000000000931</v>
      </c>
      <c r="AE58" s="44">
        <f>AC58+AD58</f>
        <v>3064498.1</v>
      </c>
      <c r="AF58" s="15">
        <f>D58+F58+J58+L58+N58+P58+T58+V58+X58+Z58+AB58+AD58</f>
        <v>472336.30000000028</v>
      </c>
      <c r="AG58" s="45"/>
      <c r="AH58" s="9"/>
    </row>
    <row r="59" spans="1:34" ht="18.75" customHeight="1" x14ac:dyDescent="0.25">
      <c r="A59" s="52" t="s">
        <v>169</v>
      </c>
      <c r="B59" s="42" t="s">
        <v>170</v>
      </c>
      <c r="C59" s="13">
        <v>100501.9</v>
      </c>
      <c r="D59" s="43">
        <v>-837</v>
      </c>
      <c r="E59" s="56">
        <f t="shared" si="1"/>
        <v>99664.9</v>
      </c>
      <c r="F59" s="43"/>
      <c r="G59" s="56">
        <f t="shared" si="2"/>
        <v>99664.9</v>
      </c>
      <c r="H59" s="43"/>
      <c r="I59" s="56">
        <f t="shared" si="3"/>
        <v>99664.9</v>
      </c>
      <c r="J59" s="43"/>
      <c r="K59" s="56">
        <f t="shared" si="4"/>
        <v>99664.9</v>
      </c>
      <c r="L59" s="43"/>
      <c r="M59" s="56">
        <f t="shared" si="5"/>
        <v>99664.9</v>
      </c>
      <c r="N59" s="43">
        <v>-63</v>
      </c>
      <c r="O59" s="56">
        <f t="shared" si="6"/>
        <v>99601.9</v>
      </c>
      <c r="P59" s="43"/>
      <c r="Q59" s="56">
        <f t="shared" si="7"/>
        <v>99601.9</v>
      </c>
      <c r="R59" s="43"/>
      <c r="S59" s="56">
        <f t="shared" si="8"/>
        <v>99601.9</v>
      </c>
      <c r="T59" s="43">
        <v>1044</v>
      </c>
      <c r="U59" s="56">
        <f t="shared" si="9"/>
        <v>100645.9</v>
      </c>
      <c r="V59" s="43">
        <v>1.9000000000087311</v>
      </c>
      <c r="W59" s="56">
        <f t="shared" si="10"/>
        <v>100647.8</v>
      </c>
      <c r="X59" s="43"/>
      <c r="Y59" s="56">
        <f t="shared" si="11"/>
        <v>100647.8</v>
      </c>
      <c r="Z59" s="43"/>
      <c r="AA59" s="56">
        <f t="shared" si="12"/>
        <v>100647.8</v>
      </c>
      <c r="AB59" s="43"/>
      <c r="AC59" s="56">
        <f t="shared" si="13"/>
        <v>100647.8</v>
      </c>
      <c r="AD59" s="43"/>
      <c r="AE59" s="44">
        <f>AC59+AD59</f>
        <v>100647.8</v>
      </c>
      <c r="AF59" s="15">
        <f>D59+N59+T59+V59</f>
        <v>145.90000000000873</v>
      </c>
      <c r="AG59" s="45"/>
      <c r="AH59" s="9"/>
    </row>
    <row r="60" spans="1:34" s="10" customFormat="1" ht="20.25" customHeight="1" x14ac:dyDescent="0.25">
      <c r="A60" s="53" t="s">
        <v>171</v>
      </c>
      <c r="B60" s="23" t="s">
        <v>172</v>
      </c>
      <c r="C60" s="24">
        <f>SUM(C61:C67)</f>
        <v>12290988</v>
      </c>
      <c r="D60" s="24">
        <f t="shared" ref="D60:F60" si="35">SUM(D61:D67)</f>
        <v>695780.79999999935</v>
      </c>
      <c r="E60" s="24">
        <f t="shared" si="35"/>
        <v>12986768.799999999</v>
      </c>
      <c r="F60" s="24">
        <f t="shared" si="35"/>
        <v>889855.30000000098</v>
      </c>
      <c r="G60" s="24">
        <f>SUM(G61:G67)-0.1</f>
        <v>13876623.999999998</v>
      </c>
      <c r="H60" s="24"/>
      <c r="I60" s="24">
        <f t="shared" ref="I60" si="36">SUM(I61:I67)-0.1</f>
        <v>13876623.999999998</v>
      </c>
      <c r="J60" s="24">
        <f>SUM(J61:J67)</f>
        <v>210481.19999999928</v>
      </c>
      <c r="K60" s="24">
        <f t="shared" ref="K60:AD60" si="37">SUM(K61:K67)</f>
        <v>14087105.299999997</v>
      </c>
      <c r="L60" s="24">
        <f t="shared" si="37"/>
        <v>527544.69999999972</v>
      </c>
      <c r="M60" s="24">
        <f t="shared" si="37"/>
        <v>14614650</v>
      </c>
      <c r="N60" s="24">
        <f t="shared" si="37"/>
        <v>431705.30000000086</v>
      </c>
      <c r="O60" s="24">
        <f t="shared" si="37"/>
        <v>15046355.299999999</v>
      </c>
      <c r="P60" s="24">
        <f t="shared" si="37"/>
        <v>100000</v>
      </c>
      <c r="Q60" s="24">
        <f t="shared" si="37"/>
        <v>15146355.299999999</v>
      </c>
      <c r="R60" s="24">
        <f t="shared" si="37"/>
        <v>30000</v>
      </c>
      <c r="S60" s="24">
        <f t="shared" si="37"/>
        <v>15176355.299999999</v>
      </c>
      <c r="T60" s="24">
        <f t="shared" si="37"/>
        <v>959128.00000000012</v>
      </c>
      <c r="U60" s="24">
        <f>SUM(U61:U67)-0.1</f>
        <v>16135483.200000001</v>
      </c>
      <c r="V60" s="24">
        <f t="shared" si="37"/>
        <v>321079.89999999944</v>
      </c>
      <c r="W60" s="24">
        <f>SUM(W61:W67)-0.1</f>
        <v>16456563.1</v>
      </c>
      <c r="X60" s="24">
        <f t="shared" si="37"/>
        <v>409591.50000000029</v>
      </c>
      <c r="Y60" s="24">
        <f t="shared" si="37"/>
        <v>16866154.699999999</v>
      </c>
      <c r="Z60" s="24">
        <f t="shared" si="37"/>
        <v>147027.99999999919</v>
      </c>
      <c r="AA60" s="24">
        <f>SUM(AA61:AA67)-0.1</f>
        <v>17013182.599999998</v>
      </c>
      <c r="AB60" s="24">
        <f t="shared" si="37"/>
        <v>218870.30000000075</v>
      </c>
      <c r="AC60" s="24">
        <f>SUM(AC61:AC67)-0.1</f>
        <v>17232052.899999999</v>
      </c>
      <c r="AD60" s="24">
        <f t="shared" si="37"/>
        <v>-68614.600000001374</v>
      </c>
      <c r="AE60" s="24">
        <f>SUM(AE61:AE67)</f>
        <v>17163438.399999999</v>
      </c>
      <c r="AF60" s="58">
        <f>SUM(AF61:AF67)</f>
        <v>4872450.3999999985</v>
      </c>
      <c r="AG60" s="45"/>
      <c r="AH60" s="9"/>
    </row>
    <row r="61" spans="1:34" ht="15.75" customHeight="1" x14ac:dyDescent="0.25">
      <c r="A61" s="52" t="s">
        <v>173</v>
      </c>
      <c r="B61" s="42" t="s">
        <v>174</v>
      </c>
      <c r="C61" s="13">
        <v>6413224</v>
      </c>
      <c r="D61" s="43">
        <v>613644.29999999981</v>
      </c>
      <c r="E61" s="56">
        <f t="shared" si="1"/>
        <v>7026868.2999999998</v>
      </c>
      <c r="F61" s="43">
        <v>796672.10000000056</v>
      </c>
      <c r="G61" s="56">
        <f t="shared" si="2"/>
        <v>7823540.4000000004</v>
      </c>
      <c r="H61" s="43"/>
      <c r="I61" s="56">
        <f t="shared" si="3"/>
        <v>7823540.4000000004</v>
      </c>
      <c r="J61" s="43">
        <v>112881.79999999981</v>
      </c>
      <c r="K61" s="56">
        <f t="shared" si="4"/>
        <v>7936422.2000000002</v>
      </c>
      <c r="L61" s="43">
        <v>443928.59999999963</v>
      </c>
      <c r="M61" s="56">
        <f t="shared" si="5"/>
        <v>8380350.7999999998</v>
      </c>
      <c r="N61" s="43">
        <v>223231.00000000093</v>
      </c>
      <c r="O61" s="56">
        <f t="shared" si="6"/>
        <v>8603581.8000000007</v>
      </c>
      <c r="P61" s="43">
        <v>-115000</v>
      </c>
      <c r="Q61" s="56">
        <f t="shared" si="7"/>
        <v>8488581.8000000007</v>
      </c>
      <c r="R61" s="43"/>
      <c r="S61" s="56">
        <f t="shared" si="8"/>
        <v>8488581.8000000007</v>
      </c>
      <c r="T61" s="43">
        <v>667957.09999999963</v>
      </c>
      <c r="U61" s="56">
        <f t="shared" si="9"/>
        <v>9156538.9000000004</v>
      </c>
      <c r="V61" s="43">
        <v>301710.59999999963</v>
      </c>
      <c r="W61" s="56">
        <f t="shared" si="10"/>
        <v>9458249.5</v>
      </c>
      <c r="X61" s="43">
        <v>194805.30000000075</v>
      </c>
      <c r="Y61" s="56">
        <f t="shared" si="11"/>
        <v>9653054.8000000007</v>
      </c>
      <c r="Z61" s="43">
        <v>37290.299999998882</v>
      </c>
      <c r="AA61" s="56">
        <f t="shared" si="12"/>
        <v>9690345.0999999996</v>
      </c>
      <c r="AB61" s="43">
        <v>27.400000000372529</v>
      </c>
      <c r="AC61" s="56">
        <f t="shared" si="13"/>
        <v>9690372.5</v>
      </c>
      <c r="AD61" s="43">
        <v>-52055.300000000745</v>
      </c>
      <c r="AE61" s="44">
        <f>AC61+AD61</f>
        <v>9638317.1999999993</v>
      </c>
      <c r="AF61" s="15">
        <f>D61+F61+J61+L61+N61+P61+T61+V61+X61+Z61+AB61+AD61</f>
        <v>3225093.1999999993</v>
      </c>
      <c r="AG61" s="45"/>
      <c r="AH61" s="9"/>
    </row>
    <row r="62" spans="1:34" ht="17.25" customHeight="1" x14ac:dyDescent="0.25">
      <c r="A62" s="52" t="s">
        <v>175</v>
      </c>
      <c r="B62" s="42" t="s">
        <v>176</v>
      </c>
      <c r="C62" s="13">
        <v>526961.19999999995</v>
      </c>
      <c r="D62" s="43">
        <v>2359.1000000000931</v>
      </c>
      <c r="E62" s="56">
        <f t="shared" si="1"/>
        <v>529320.30000000005</v>
      </c>
      <c r="F62" s="43">
        <v>40153.79999999993</v>
      </c>
      <c r="G62" s="56">
        <f t="shared" si="2"/>
        <v>569474.1</v>
      </c>
      <c r="H62" s="43"/>
      <c r="I62" s="56">
        <f t="shared" si="3"/>
        <v>569474.1</v>
      </c>
      <c r="J62" s="43">
        <v>42867.400000000023</v>
      </c>
      <c r="K62" s="56">
        <f t="shared" si="4"/>
        <v>612341.5</v>
      </c>
      <c r="L62" s="43">
        <v>430</v>
      </c>
      <c r="M62" s="56">
        <f t="shared" si="5"/>
        <v>612771.5</v>
      </c>
      <c r="N62" s="43">
        <v>6875.4000000000233</v>
      </c>
      <c r="O62" s="56">
        <f t="shared" si="6"/>
        <v>619646.9</v>
      </c>
      <c r="P62" s="43">
        <v>215000</v>
      </c>
      <c r="Q62" s="56">
        <f t="shared" si="7"/>
        <v>834646.9</v>
      </c>
      <c r="R62" s="43"/>
      <c r="S62" s="56">
        <f t="shared" si="8"/>
        <v>834646.9</v>
      </c>
      <c r="T62" s="43">
        <v>10807.29999999993</v>
      </c>
      <c r="U62" s="56">
        <f t="shared" si="9"/>
        <v>845454.2</v>
      </c>
      <c r="V62" s="43"/>
      <c r="W62" s="56">
        <f t="shared" si="10"/>
        <v>845454.2</v>
      </c>
      <c r="X62" s="43">
        <v>4520</v>
      </c>
      <c r="Y62" s="56">
        <f t="shared" si="11"/>
        <v>849974.2</v>
      </c>
      <c r="Z62" s="43">
        <v>-16226.899999999907</v>
      </c>
      <c r="AA62" s="56">
        <f t="shared" si="12"/>
        <v>833747.3</v>
      </c>
      <c r="AB62" s="43">
        <v>-500</v>
      </c>
      <c r="AC62" s="56">
        <f t="shared" si="13"/>
        <v>833247.3</v>
      </c>
      <c r="AD62" s="43">
        <v>5397.3999999999069</v>
      </c>
      <c r="AE62" s="44">
        <f t="shared" ref="AE62:AE67" si="38">AC62+AD62</f>
        <v>838644.7</v>
      </c>
      <c r="AF62" s="15">
        <f>D62+F62+J62+L62+N62+P62+T62+X62+Z62+AB62+AD62</f>
        <v>311683.5</v>
      </c>
      <c r="AG62" s="45"/>
      <c r="AH62" s="9"/>
    </row>
    <row r="63" spans="1:34" ht="16.5" customHeight="1" x14ac:dyDescent="0.25">
      <c r="A63" s="52" t="s">
        <v>177</v>
      </c>
      <c r="B63" s="42" t="s">
        <v>178</v>
      </c>
      <c r="C63" s="13">
        <v>532993.4</v>
      </c>
      <c r="D63" s="43"/>
      <c r="E63" s="56">
        <f t="shared" si="1"/>
        <v>532993.4</v>
      </c>
      <c r="F63" s="43">
        <v>6870.2999999999302</v>
      </c>
      <c r="G63" s="56">
        <f t="shared" si="2"/>
        <v>539863.69999999995</v>
      </c>
      <c r="H63" s="43"/>
      <c r="I63" s="56">
        <f t="shared" si="3"/>
        <v>539863.69999999995</v>
      </c>
      <c r="J63" s="43"/>
      <c r="K63" s="56">
        <f t="shared" si="4"/>
        <v>539863.69999999995</v>
      </c>
      <c r="L63" s="43">
        <v>33186.100000000093</v>
      </c>
      <c r="M63" s="56">
        <f t="shared" si="5"/>
        <v>573049.80000000005</v>
      </c>
      <c r="N63" s="43">
        <v>-1380.6000000000931</v>
      </c>
      <c r="O63" s="56">
        <f t="shared" si="6"/>
        <v>571669.19999999995</v>
      </c>
      <c r="P63" s="43"/>
      <c r="Q63" s="56">
        <f t="shared" si="7"/>
        <v>571669.19999999995</v>
      </c>
      <c r="R63" s="43"/>
      <c r="S63" s="56">
        <f t="shared" si="8"/>
        <v>571669.19999999995</v>
      </c>
      <c r="T63" s="43">
        <v>-115.19999999995343</v>
      </c>
      <c r="U63" s="56">
        <f t="shared" si="9"/>
        <v>571554</v>
      </c>
      <c r="V63" s="43"/>
      <c r="W63" s="56">
        <f t="shared" si="10"/>
        <v>571554</v>
      </c>
      <c r="X63" s="43">
        <v>128.19999999995343</v>
      </c>
      <c r="Y63" s="56">
        <f t="shared" si="11"/>
        <v>571682.19999999995</v>
      </c>
      <c r="Z63" s="43"/>
      <c r="AA63" s="56">
        <f t="shared" si="12"/>
        <v>571682.19999999995</v>
      </c>
      <c r="AB63" s="43"/>
      <c r="AC63" s="56">
        <f t="shared" si="13"/>
        <v>571682.19999999995</v>
      </c>
      <c r="AD63" s="43">
        <v>-33052.599999999977</v>
      </c>
      <c r="AE63" s="44">
        <f t="shared" si="38"/>
        <v>538629.6</v>
      </c>
      <c r="AF63" s="15">
        <f>F63+L63+N63+T63+X63+AD63</f>
        <v>5636.1999999999534</v>
      </c>
      <c r="AG63" s="45"/>
      <c r="AH63" s="9"/>
    </row>
    <row r="64" spans="1:34" ht="15.75" customHeight="1" x14ac:dyDescent="0.25">
      <c r="A64" s="52" t="s">
        <v>179</v>
      </c>
      <c r="B64" s="42" t="s">
        <v>180</v>
      </c>
      <c r="C64" s="13">
        <v>111909.8</v>
      </c>
      <c r="D64" s="43"/>
      <c r="E64" s="56">
        <f t="shared" si="1"/>
        <v>111909.8</v>
      </c>
      <c r="F64" s="43">
        <v>3340.3999999999942</v>
      </c>
      <c r="G64" s="56">
        <f t="shared" si="2"/>
        <v>115250.2</v>
      </c>
      <c r="H64" s="43"/>
      <c r="I64" s="56">
        <f t="shared" si="3"/>
        <v>115250.2</v>
      </c>
      <c r="J64" s="43"/>
      <c r="K64" s="56">
        <f t="shared" si="4"/>
        <v>115250.2</v>
      </c>
      <c r="L64" s="43"/>
      <c r="M64" s="56">
        <f t="shared" si="5"/>
        <v>115250.2</v>
      </c>
      <c r="N64" s="43"/>
      <c r="O64" s="56">
        <f t="shared" si="6"/>
        <v>115250.2</v>
      </c>
      <c r="P64" s="43"/>
      <c r="Q64" s="56">
        <f t="shared" si="7"/>
        <v>115250.2</v>
      </c>
      <c r="R64" s="43"/>
      <c r="S64" s="56">
        <f t="shared" si="8"/>
        <v>115250.2</v>
      </c>
      <c r="T64" s="43">
        <v>4956.6999999999971</v>
      </c>
      <c r="U64" s="56">
        <f t="shared" si="9"/>
        <v>120206.9</v>
      </c>
      <c r="V64" s="43"/>
      <c r="W64" s="56">
        <f t="shared" si="10"/>
        <v>120206.9</v>
      </c>
      <c r="X64" s="43"/>
      <c r="Y64" s="56">
        <f t="shared" si="11"/>
        <v>120206.9</v>
      </c>
      <c r="Z64" s="43">
        <v>1249.1000000000058</v>
      </c>
      <c r="AA64" s="56">
        <f t="shared" si="12"/>
        <v>121456</v>
      </c>
      <c r="AB64" s="43"/>
      <c r="AC64" s="56">
        <f t="shared" si="13"/>
        <v>121456</v>
      </c>
      <c r="AD64" s="43"/>
      <c r="AE64" s="44">
        <f t="shared" si="38"/>
        <v>121456</v>
      </c>
      <c r="AF64" s="15">
        <f>F64+T64+Z64</f>
        <v>9546.1999999999971</v>
      </c>
      <c r="AG64" s="45"/>
      <c r="AH64" s="9"/>
    </row>
    <row r="65" spans="1:34" ht="25.5" x14ac:dyDescent="0.25">
      <c r="A65" s="52" t="s">
        <v>181</v>
      </c>
      <c r="B65" s="42" t="s">
        <v>182</v>
      </c>
      <c r="C65" s="13">
        <v>257163.2</v>
      </c>
      <c r="D65" s="43"/>
      <c r="E65" s="56">
        <f t="shared" si="1"/>
        <v>257163.2</v>
      </c>
      <c r="F65" s="43">
        <v>14140</v>
      </c>
      <c r="G65" s="56">
        <f t="shared" si="2"/>
        <v>271303.2</v>
      </c>
      <c r="H65" s="43"/>
      <c r="I65" s="56">
        <f t="shared" si="3"/>
        <v>271303.2</v>
      </c>
      <c r="J65" s="43"/>
      <c r="K65" s="56">
        <f t="shared" si="4"/>
        <v>271303.2</v>
      </c>
      <c r="L65" s="43"/>
      <c r="M65" s="56">
        <f t="shared" si="5"/>
        <v>271303.2</v>
      </c>
      <c r="N65" s="43"/>
      <c r="O65" s="56">
        <f t="shared" si="6"/>
        <v>271303.2</v>
      </c>
      <c r="P65" s="43"/>
      <c r="Q65" s="56">
        <f t="shared" si="7"/>
        <v>271303.2</v>
      </c>
      <c r="R65" s="43"/>
      <c r="S65" s="56">
        <f t="shared" si="8"/>
        <v>271303.2</v>
      </c>
      <c r="T65" s="43"/>
      <c r="U65" s="56">
        <f t="shared" si="9"/>
        <v>271303.2</v>
      </c>
      <c r="V65" s="43"/>
      <c r="W65" s="56">
        <f t="shared" si="10"/>
        <v>271303.2</v>
      </c>
      <c r="X65" s="43">
        <v>-29.100000000034925</v>
      </c>
      <c r="Y65" s="56">
        <f t="shared" si="11"/>
        <v>271274.09999999998</v>
      </c>
      <c r="Z65" s="43"/>
      <c r="AA65" s="56">
        <f t="shared" si="12"/>
        <v>271274.09999999998</v>
      </c>
      <c r="AB65" s="43"/>
      <c r="AC65" s="56">
        <f t="shared" si="13"/>
        <v>271274.09999999998</v>
      </c>
      <c r="AD65" s="43"/>
      <c r="AE65" s="44">
        <f t="shared" si="38"/>
        <v>271274.09999999998</v>
      </c>
      <c r="AF65" s="15">
        <f>F65+X65</f>
        <v>14110.899999999965</v>
      </c>
      <c r="AG65" s="45"/>
      <c r="AH65" s="9"/>
    </row>
    <row r="66" spans="1:34" ht="14.25" customHeight="1" x14ac:dyDescent="0.25">
      <c r="A66" s="52" t="s">
        <v>183</v>
      </c>
      <c r="B66" s="42" t="s">
        <v>184</v>
      </c>
      <c r="C66" s="13">
        <v>8973.2000000000007</v>
      </c>
      <c r="D66" s="43"/>
      <c r="E66" s="56">
        <f t="shared" si="1"/>
        <v>8973.2000000000007</v>
      </c>
      <c r="F66" s="43">
        <v>410.09999999999854</v>
      </c>
      <c r="G66" s="56">
        <f t="shared" si="2"/>
        <v>9383.2999999999993</v>
      </c>
      <c r="H66" s="43"/>
      <c r="I66" s="56">
        <f t="shared" si="3"/>
        <v>9383.2999999999993</v>
      </c>
      <c r="J66" s="43">
        <v>25.100000000000364</v>
      </c>
      <c r="K66" s="56">
        <f t="shared" si="4"/>
        <v>9408.4</v>
      </c>
      <c r="L66" s="43"/>
      <c r="M66" s="56">
        <f t="shared" si="5"/>
        <v>9408.4</v>
      </c>
      <c r="N66" s="43"/>
      <c r="O66" s="56">
        <f t="shared" si="6"/>
        <v>9408.4</v>
      </c>
      <c r="P66" s="43"/>
      <c r="Q66" s="56">
        <f t="shared" si="7"/>
        <v>9408.4</v>
      </c>
      <c r="R66" s="43"/>
      <c r="S66" s="56">
        <f t="shared" si="8"/>
        <v>9408.4</v>
      </c>
      <c r="T66" s="43"/>
      <c r="U66" s="56">
        <f t="shared" si="9"/>
        <v>9408.4</v>
      </c>
      <c r="V66" s="43"/>
      <c r="W66" s="56">
        <f t="shared" si="10"/>
        <v>9408.4</v>
      </c>
      <c r="X66" s="43"/>
      <c r="Y66" s="56">
        <f t="shared" si="11"/>
        <v>9408.4</v>
      </c>
      <c r="Z66" s="43">
        <v>364.30000000000109</v>
      </c>
      <c r="AA66" s="56">
        <f t="shared" si="12"/>
        <v>9772.7000000000007</v>
      </c>
      <c r="AB66" s="43"/>
      <c r="AC66" s="56">
        <f t="shared" si="13"/>
        <v>9772.7000000000007</v>
      </c>
      <c r="AD66" s="43"/>
      <c r="AE66" s="44">
        <f t="shared" si="38"/>
        <v>9772.7000000000007</v>
      </c>
      <c r="AF66" s="15">
        <f>F66+J66+Z66</f>
        <v>799.5</v>
      </c>
      <c r="AG66" s="45"/>
      <c r="AH66" s="9"/>
    </row>
    <row r="67" spans="1:34" ht="14.25" customHeight="1" x14ac:dyDescent="0.25">
      <c r="A67" s="52" t="s">
        <v>185</v>
      </c>
      <c r="B67" s="42" t="s">
        <v>186</v>
      </c>
      <c r="C67" s="13">
        <v>4439763.2</v>
      </c>
      <c r="D67" s="43">
        <v>79777.399999999441</v>
      </c>
      <c r="E67" s="56">
        <f t="shared" si="1"/>
        <v>4519540.5999999996</v>
      </c>
      <c r="F67" s="43">
        <v>28268.600000000559</v>
      </c>
      <c r="G67" s="56">
        <f t="shared" si="2"/>
        <v>4547809.2</v>
      </c>
      <c r="H67" s="43"/>
      <c r="I67" s="56">
        <f t="shared" si="3"/>
        <v>4547809.2</v>
      </c>
      <c r="J67" s="43">
        <v>54706.899999999441</v>
      </c>
      <c r="K67" s="56">
        <f t="shared" si="4"/>
        <v>4602516.0999999996</v>
      </c>
      <c r="L67" s="43">
        <v>50000</v>
      </c>
      <c r="M67" s="56">
        <f t="shared" si="5"/>
        <v>4652516.0999999996</v>
      </c>
      <c r="N67" s="43">
        <v>202979.5</v>
      </c>
      <c r="O67" s="56">
        <f t="shared" si="6"/>
        <v>4855495.5999999996</v>
      </c>
      <c r="P67" s="43"/>
      <c r="Q67" s="56">
        <f t="shared" si="7"/>
        <v>4855495.5999999996</v>
      </c>
      <c r="R67" s="43">
        <v>30000</v>
      </c>
      <c r="S67" s="56">
        <f t="shared" si="8"/>
        <v>4885495.5999999996</v>
      </c>
      <c r="T67" s="43">
        <v>275522.10000000056</v>
      </c>
      <c r="U67" s="56">
        <f t="shared" si="9"/>
        <v>5161017.7</v>
      </c>
      <c r="V67" s="43">
        <v>19369.299999999814</v>
      </c>
      <c r="W67" s="56">
        <f t="shared" si="10"/>
        <v>5180387</v>
      </c>
      <c r="X67" s="43">
        <v>210167.09999999963</v>
      </c>
      <c r="Y67" s="56">
        <f t="shared" si="11"/>
        <v>5390554.0999999996</v>
      </c>
      <c r="Z67" s="43">
        <v>124351.20000000019</v>
      </c>
      <c r="AA67" s="56">
        <f t="shared" si="12"/>
        <v>5514905.2999999998</v>
      </c>
      <c r="AB67" s="43">
        <v>219342.90000000037</v>
      </c>
      <c r="AC67" s="56">
        <f t="shared" si="13"/>
        <v>5734248.2000000002</v>
      </c>
      <c r="AD67" s="43">
        <v>11095.899999999441</v>
      </c>
      <c r="AE67" s="44">
        <f t="shared" si="38"/>
        <v>5745344.0999999996</v>
      </c>
      <c r="AF67" s="15">
        <f>D67+F67+J67+L67+N67+R67+T67+V67+X67+Z67+AB67+AD67</f>
        <v>1305580.8999999994</v>
      </c>
      <c r="AG67" s="45"/>
      <c r="AH67" s="9"/>
    </row>
    <row r="68" spans="1:34" s="10" customFormat="1" ht="24" customHeight="1" x14ac:dyDescent="0.25">
      <c r="A68" s="53" t="s">
        <v>187</v>
      </c>
      <c r="B68" s="23" t="s">
        <v>188</v>
      </c>
      <c r="C68" s="24">
        <f>SUM(C69:C74)+0.1</f>
        <v>38479356</v>
      </c>
      <c r="D68" s="24">
        <f t="shared" ref="D68:AD68" si="39">SUM(D69:D74)</f>
        <v>156391.19999999972</v>
      </c>
      <c r="E68" s="24">
        <f t="shared" si="39"/>
        <v>38635747.100000001</v>
      </c>
      <c r="F68" s="24">
        <f t="shared" si="39"/>
        <v>1855948.2999999989</v>
      </c>
      <c r="G68" s="24">
        <f>SUM(G69:G74)-0.1</f>
        <v>40491695.299999997</v>
      </c>
      <c r="H68" s="24">
        <f t="shared" si="39"/>
        <v>-253771.70000000019</v>
      </c>
      <c r="I68" s="24">
        <f>SUM(I69:I74)-0.1</f>
        <v>40237923.600000001</v>
      </c>
      <c r="J68" s="24">
        <f t="shared" si="39"/>
        <v>138476.99999999907</v>
      </c>
      <c r="K68" s="24">
        <f t="shared" si="39"/>
        <v>40376400.700000003</v>
      </c>
      <c r="L68" s="24">
        <f t="shared" si="39"/>
        <v>240397.20000000158</v>
      </c>
      <c r="M68" s="24">
        <f t="shared" si="39"/>
        <v>40616797.899999999</v>
      </c>
      <c r="N68" s="24">
        <f t="shared" si="39"/>
        <v>248234.70000000065</v>
      </c>
      <c r="O68" s="24">
        <f t="shared" si="39"/>
        <v>40865032.600000001</v>
      </c>
      <c r="P68" s="24">
        <f t="shared" si="39"/>
        <v>13576.699999999255</v>
      </c>
      <c r="Q68" s="24">
        <f t="shared" si="39"/>
        <v>40878609.299999997</v>
      </c>
      <c r="R68" s="24"/>
      <c r="S68" s="24">
        <f t="shared" si="39"/>
        <v>40878609.299999997</v>
      </c>
      <c r="T68" s="24">
        <f t="shared" si="39"/>
        <v>109660.09999999986</v>
      </c>
      <c r="U68" s="24">
        <f>SUM(U69:U74)-0.1</f>
        <v>40988269.300000004</v>
      </c>
      <c r="V68" s="24">
        <f t="shared" si="39"/>
        <v>48783.50000000163</v>
      </c>
      <c r="W68" s="24">
        <f>SUM(W69:W74)-0.1</f>
        <v>41037052.799999997</v>
      </c>
      <c r="X68" s="24">
        <f t="shared" si="39"/>
        <v>-172673.80000000307</v>
      </c>
      <c r="Y68" s="24">
        <f>SUM(Y69:Y74)+0.1</f>
        <v>40864379.199999996</v>
      </c>
      <c r="Z68" s="24">
        <f t="shared" si="39"/>
        <v>-763009.79999999888</v>
      </c>
      <c r="AA68" s="24">
        <f t="shared" si="39"/>
        <v>40101369.300000004</v>
      </c>
      <c r="AB68" s="24"/>
      <c r="AC68" s="24">
        <f t="shared" si="39"/>
        <v>40101369.300000004</v>
      </c>
      <c r="AD68" s="24">
        <f t="shared" si="39"/>
        <v>1068666.8999999997</v>
      </c>
      <c r="AE68" s="24">
        <f>SUM(AE69:AE74)</f>
        <v>41170036.199999996</v>
      </c>
      <c r="AF68" s="58">
        <f>SUM(AF69:AF74)-0.1</f>
        <v>2690680.1999999979</v>
      </c>
      <c r="AG68" s="45"/>
      <c r="AH68" s="9"/>
    </row>
    <row r="69" spans="1:34" ht="14.25" customHeight="1" x14ac:dyDescent="0.25">
      <c r="A69" s="52" t="s">
        <v>189</v>
      </c>
      <c r="B69" s="42" t="s">
        <v>190</v>
      </c>
      <c r="C69" s="13">
        <v>191456.7</v>
      </c>
      <c r="D69" s="43">
        <v>0</v>
      </c>
      <c r="E69" s="56">
        <f t="shared" si="1"/>
        <v>191456.7</v>
      </c>
      <c r="F69" s="43"/>
      <c r="G69" s="56">
        <f t="shared" si="2"/>
        <v>191456.7</v>
      </c>
      <c r="H69" s="43"/>
      <c r="I69" s="56">
        <f t="shared" si="3"/>
        <v>191456.7</v>
      </c>
      <c r="J69" s="43"/>
      <c r="K69" s="56">
        <f t="shared" si="4"/>
        <v>191456.7</v>
      </c>
      <c r="L69" s="43"/>
      <c r="M69" s="56">
        <f t="shared" si="5"/>
        <v>191456.7</v>
      </c>
      <c r="N69" s="43"/>
      <c r="O69" s="56">
        <f t="shared" si="6"/>
        <v>191456.7</v>
      </c>
      <c r="P69" s="43"/>
      <c r="Q69" s="56">
        <f t="shared" si="7"/>
        <v>191456.7</v>
      </c>
      <c r="R69" s="43"/>
      <c r="S69" s="56">
        <f t="shared" si="8"/>
        <v>191456.7</v>
      </c>
      <c r="T69" s="43"/>
      <c r="U69" s="56">
        <f t="shared" si="9"/>
        <v>191456.7</v>
      </c>
      <c r="V69" s="43"/>
      <c r="W69" s="56">
        <f t="shared" si="10"/>
        <v>191456.7</v>
      </c>
      <c r="X69" s="43"/>
      <c r="Y69" s="56">
        <f t="shared" si="11"/>
        <v>191456.7</v>
      </c>
      <c r="Z69" s="43">
        <v>-5066.2000000000116</v>
      </c>
      <c r="AA69" s="56">
        <f t="shared" si="12"/>
        <v>186390.5</v>
      </c>
      <c r="AB69" s="43"/>
      <c r="AC69" s="56">
        <f t="shared" si="13"/>
        <v>186390.5</v>
      </c>
      <c r="AD69" s="43">
        <v>3.6000000000058208</v>
      </c>
      <c r="AE69" s="44">
        <f>AC69+AD69</f>
        <v>186394.1</v>
      </c>
      <c r="AF69" s="15">
        <f>Z69+AD69</f>
        <v>-5062.6000000000058</v>
      </c>
      <c r="AG69" s="45"/>
      <c r="AH69" s="9"/>
    </row>
    <row r="70" spans="1:34" ht="17.25" customHeight="1" x14ac:dyDescent="0.25">
      <c r="A70" s="52" t="s">
        <v>191</v>
      </c>
      <c r="B70" s="42" t="s">
        <v>192</v>
      </c>
      <c r="C70" s="13">
        <v>7587286.5</v>
      </c>
      <c r="D70" s="43">
        <v>-66108.400000000373</v>
      </c>
      <c r="E70" s="56">
        <f t="shared" si="1"/>
        <v>7521178.0999999996</v>
      </c>
      <c r="F70" s="43">
        <v>459367.5</v>
      </c>
      <c r="G70" s="56">
        <f t="shared" si="2"/>
        <v>7980545.5999999996</v>
      </c>
      <c r="H70" s="43"/>
      <c r="I70" s="56">
        <f t="shared" si="3"/>
        <v>7980545.5999999996</v>
      </c>
      <c r="J70" s="43"/>
      <c r="K70" s="56">
        <f t="shared" si="4"/>
        <v>7980545.5999999996</v>
      </c>
      <c r="L70" s="43">
        <v>72328.700000000186</v>
      </c>
      <c r="M70" s="56">
        <f t="shared" si="5"/>
        <v>8052874.2999999998</v>
      </c>
      <c r="N70" s="43">
        <v>39676.5</v>
      </c>
      <c r="O70" s="56">
        <f t="shared" si="6"/>
        <v>8092550.7999999998</v>
      </c>
      <c r="P70" s="43"/>
      <c r="Q70" s="56">
        <f t="shared" si="7"/>
        <v>8092550.7999999998</v>
      </c>
      <c r="R70" s="43"/>
      <c r="S70" s="56">
        <f t="shared" si="8"/>
        <v>8092550.7999999998</v>
      </c>
      <c r="T70" s="43">
        <v>-5165.8999999994412</v>
      </c>
      <c r="U70" s="56">
        <f t="shared" si="9"/>
        <v>8087384.9000000004</v>
      </c>
      <c r="V70" s="43">
        <v>2663.7999999998137</v>
      </c>
      <c r="W70" s="56">
        <f t="shared" si="10"/>
        <v>8090048.7000000002</v>
      </c>
      <c r="X70" s="43">
        <v>-322.70000000018626</v>
      </c>
      <c r="Y70" s="56">
        <f t="shared" si="11"/>
        <v>8089726</v>
      </c>
      <c r="Z70" s="43">
        <v>5863.5</v>
      </c>
      <c r="AA70" s="56">
        <f t="shared" si="12"/>
        <v>8095589.5</v>
      </c>
      <c r="AB70" s="43"/>
      <c r="AC70" s="56">
        <f t="shared" si="13"/>
        <v>8095589.5</v>
      </c>
      <c r="AD70" s="43">
        <v>34393.400000000373</v>
      </c>
      <c r="AE70" s="44">
        <f t="shared" ref="AE70:AE74" si="40">AC70+AD70</f>
        <v>8129982.9000000004</v>
      </c>
      <c r="AF70" s="15">
        <f>D70+F70+L70+N70+T70+V70+X70+Z70+AD70</f>
        <v>542696.40000000037</v>
      </c>
      <c r="AG70" s="45"/>
      <c r="AH70" s="9"/>
    </row>
    <row r="71" spans="1:34" ht="17.25" customHeight="1" x14ac:dyDescent="0.25">
      <c r="A71" s="52" t="s">
        <v>193</v>
      </c>
      <c r="B71" s="42" t="s">
        <v>194</v>
      </c>
      <c r="C71" s="13">
        <v>22067820.100000001</v>
      </c>
      <c r="D71" s="43">
        <v>274689.69999999925</v>
      </c>
      <c r="E71" s="56">
        <f t="shared" si="1"/>
        <v>22342509.800000001</v>
      </c>
      <c r="F71" s="43">
        <v>41224.699999999255</v>
      </c>
      <c r="G71" s="56">
        <f t="shared" si="2"/>
        <v>22383734.5</v>
      </c>
      <c r="H71" s="43"/>
      <c r="I71" s="56">
        <f t="shared" si="3"/>
        <v>22383734.5</v>
      </c>
      <c r="J71" s="43">
        <v>66231.699999999255</v>
      </c>
      <c r="K71" s="56">
        <f t="shared" si="4"/>
        <v>22449966.199999999</v>
      </c>
      <c r="L71" s="43">
        <v>136090.60000000149</v>
      </c>
      <c r="M71" s="56">
        <f t="shared" si="5"/>
        <v>22586056.800000001</v>
      </c>
      <c r="N71" s="43">
        <v>206756.80000000075</v>
      </c>
      <c r="O71" s="56">
        <f t="shared" si="6"/>
        <v>22792813.600000001</v>
      </c>
      <c r="P71" s="43">
        <v>13576.699999999255</v>
      </c>
      <c r="Q71" s="56">
        <f t="shared" si="7"/>
        <v>22806390.300000001</v>
      </c>
      <c r="R71" s="43"/>
      <c r="S71" s="56">
        <f t="shared" si="8"/>
        <v>22806390.300000001</v>
      </c>
      <c r="T71" s="43">
        <v>46361.699999999255</v>
      </c>
      <c r="U71" s="56">
        <f t="shared" si="9"/>
        <v>22852752</v>
      </c>
      <c r="V71" s="43">
        <v>-65709.39999999851</v>
      </c>
      <c r="W71" s="56">
        <f t="shared" si="10"/>
        <v>22787042.600000001</v>
      </c>
      <c r="X71" s="43">
        <v>-25881.20000000298</v>
      </c>
      <c r="Y71" s="56">
        <f t="shared" si="11"/>
        <v>22761161.399999999</v>
      </c>
      <c r="Z71" s="43">
        <v>-651173.19999999925</v>
      </c>
      <c r="AA71" s="56">
        <f t="shared" si="12"/>
        <v>22109988.199999999</v>
      </c>
      <c r="AB71" s="43"/>
      <c r="AC71" s="56">
        <f t="shared" si="13"/>
        <v>22109988.199999999</v>
      </c>
      <c r="AD71" s="43">
        <v>-320432.80000000075</v>
      </c>
      <c r="AE71" s="44">
        <f t="shared" si="40"/>
        <v>21789555.399999999</v>
      </c>
      <c r="AF71" s="15">
        <f>D71+F71+J71+L71+N71+P71+T71+V71+X71+Z71+AD71</f>
        <v>-278264.70000000298</v>
      </c>
      <c r="AG71" s="45"/>
      <c r="AH71" s="9"/>
    </row>
    <row r="72" spans="1:34" ht="14.25" customHeight="1" x14ac:dyDescent="0.25">
      <c r="A72" s="52" t="s">
        <v>195</v>
      </c>
      <c r="B72" s="42" t="s">
        <v>196</v>
      </c>
      <c r="C72" s="13">
        <v>7004995.0999999996</v>
      </c>
      <c r="D72" s="43">
        <v>-55549.199999999255</v>
      </c>
      <c r="E72" s="56">
        <f t="shared" si="1"/>
        <v>6949445.9000000004</v>
      </c>
      <c r="F72" s="43">
        <v>1345356.0999999996</v>
      </c>
      <c r="G72" s="56">
        <f t="shared" si="2"/>
        <v>8294802</v>
      </c>
      <c r="H72" s="43">
        <v>-253771.70000000019</v>
      </c>
      <c r="I72" s="56">
        <f t="shared" si="3"/>
        <v>8041030.2999999998</v>
      </c>
      <c r="J72" s="43">
        <v>60446.299999999814</v>
      </c>
      <c r="K72" s="56">
        <f t="shared" si="4"/>
        <v>8101476.5999999996</v>
      </c>
      <c r="L72" s="43">
        <v>19074</v>
      </c>
      <c r="M72" s="56">
        <f t="shared" si="5"/>
        <v>8120550.5999999996</v>
      </c>
      <c r="N72" s="43"/>
      <c r="O72" s="56">
        <f t="shared" si="6"/>
        <v>8120550.5999999996</v>
      </c>
      <c r="P72" s="43"/>
      <c r="Q72" s="56">
        <f t="shared" si="7"/>
        <v>8120550.5999999996</v>
      </c>
      <c r="R72" s="43"/>
      <c r="S72" s="56">
        <f t="shared" si="8"/>
        <v>8120550.5999999996</v>
      </c>
      <c r="T72" s="43">
        <v>-18368</v>
      </c>
      <c r="U72" s="56">
        <f t="shared" si="9"/>
        <v>8102182.5999999996</v>
      </c>
      <c r="V72" s="43">
        <v>85360.700000000186</v>
      </c>
      <c r="W72" s="56">
        <f t="shared" si="10"/>
        <v>8187543.2999999998</v>
      </c>
      <c r="X72" s="43">
        <v>-185265.29999999981</v>
      </c>
      <c r="Y72" s="56">
        <f t="shared" si="11"/>
        <v>8002278</v>
      </c>
      <c r="Z72" s="43">
        <v>-197702.09999999963</v>
      </c>
      <c r="AA72" s="56">
        <f t="shared" si="12"/>
        <v>7804575.9000000004</v>
      </c>
      <c r="AB72" s="43"/>
      <c r="AC72" s="56">
        <f t="shared" si="13"/>
        <v>7804575.9000000004</v>
      </c>
      <c r="AD72" s="43">
        <v>1422370.5</v>
      </c>
      <c r="AE72" s="44">
        <f t="shared" si="40"/>
        <v>9226946.4000000004</v>
      </c>
      <c r="AF72" s="15">
        <f>D72+F72+H72+J72+L72+T72+V72+X72+Z72+AD72</f>
        <v>2221951.3000000007</v>
      </c>
      <c r="AG72" s="45"/>
      <c r="AH72" s="9"/>
    </row>
    <row r="73" spans="1:34" ht="24.75" customHeight="1" x14ac:dyDescent="0.25">
      <c r="A73" s="52" t="s">
        <v>263</v>
      </c>
      <c r="B73" s="42" t="s">
        <v>266</v>
      </c>
      <c r="C73" s="13"/>
      <c r="D73" s="43"/>
      <c r="E73" s="56"/>
      <c r="F73" s="43"/>
      <c r="G73" s="56"/>
      <c r="H73" s="43"/>
      <c r="I73" s="56"/>
      <c r="J73" s="43"/>
      <c r="K73" s="56"/>
      <c r="L73" s="43"/>
      <c r="M73" s="56"/>
      <c r="N73" s="43"/>
      <c r="O73" s="56"/>
      <c r="P73" s="43"/>
      <c r="Q73" s="56"/>
      <c r="R73" s="43"/>
      <c r="S73" s="56"/>
      <c r="T73" s="43"/>
      <c r="U73" s="56"/>
      <c r="V73" s="43"/>
      <c r="W73" s="56"/>
      <c r="X73" s="43"/>
      <c r="Y73" s="56"/>
      <c r="Z73" s="43">
        <v>3500</v>
      </c>
      <c r="AA73" s="56">
        <f t="shared" ref="AA73:AA89" si="41">Y73+Z73</f>
        <v>3500</v>
      </c>
      <c r="AB73" s="43"/>
      <c r="AC73" s="56">
        <f t="shared" ref="AC73:AC89" si="42">AA73+AB73</f>
        <v>3500</v>
      </c>
      <c r="AD73" s="43"/>
      <c r="AE73" s="44">
        <f t="shared" si="40"/>
        <v>3500</v>
      </c>
      <c r="AF73" s="15">
        <f>Z73</f>
        <v>3500</v>
      </c>
      <c r="AG73" s="45"/>
      <c r="AH73" s="9"/>
    </row>
    <row r="74" spans="1:34" ht="18" customHeight="1" x14ac:dyDescent="0.25">
      <c r="A74" s="52" t="s">
        <v>197</v>
      </c>
      <c r="B74" s="42" t="s">
        <v>198</v>
      </c>
      <c r="C74" s="13">
        <v>1627797.5</v>
      </c>
      <c r="D74" s="43">
        <v>3359.1000000000931</v>
      </c>
      <c r="E74" s="56">
        <f t="shared" si="1"/>
        <v>1631156.6</v>
      </c>
      <c r="F74" s="43">
        <v>10000</v>
      </c>
      <c r="G74" s="56">
        <f t="shared" si="2"/>
        <v>1641156.6</v>
      </c>
      <c r="H74" s="43"/>
      <c r="I74" s="56">
        <f t="shared" si="3"/>
        <v>1641156.6</v>
      </c>
      <c r="J74" s="43">
        <v>11799</v>
      </c>
      <c r="K74" s="56">
        <f t="shared" si="4"/>
        <v>1652955.6</v>
      </c>
      <c r="L74" s="43">
        <v>12903.899999999907</v>
      </c>
      <c r="M74" s="56">
        <f t="shared" si="5"/>
        <v>1665859.5</v>
      </c>
      <c r="N74" s="43">
        <v>1801.3999999999069</v>
      </c>
      <c r="O74" s="56">
        <f t="shared" si="6"/>
        <v>1667660.9</v>
      </c>
      <c r="P74" s="43"/>
      <c r="Q74" s="56">
        <f t="shared" si="7"/>
        <v>1667660.9</v>
      </c>
      <c r="R74" s="43"/>
      <c r="S74" s="56">
        <f t="shared" si="8"/>
        <v>1667660.9</v>
      </c>
      <c r="T74" s="43">
        <v>86832.300000000047</v>
      </c>
      <c r="U74" s="56">
        <f t="shared" ref="U74:U89" si="43">S74+T74</f>
        <v>1754493.2</v>
      </c>
      <c r="V74" s="43">
        <v>26468.40000000014</v>
      </c>
      <c r="W74" s="56">
        <f t="shared" ref="W74:W89" si="44">U74+V74</f>
        <v>1780961.6</v>
      </c>
      <c r="X74" s="43">
        <v>38795.399999999907</v>
      </c>
      <c r="Y74" s="56">
        <f t="shared" ref="Y74:Y89" si="45">W74+X74</f>
        <v>1819757</v>
      </c>
      <c r="Z74" s="43">
        <v>81568.199999999953</v>
      </c>
      <c r="AA74" s="56">
        <f t="shared" si="41"/>
        <v>1901325.2</v>
      </c>
      <c r="AB74" s="43"/>
      <c r="AC74" s="56">
        <f t="shared" si="42"/>
        <v>1901325.2</v>
      </c>
      <c r="AD74" s="43">
        <v>-67667.800000000047</v>
      </c>
      <c r="AE74" s="44">
        <f t="shared" si="40"/>
        <v>1833657.4</v>
      </c>
      <c r="AF74" s="15">
        <f>D74+F74+J74+L74+N74+T74+V74+X74+Z74+AD74</f>
        <v>205859.89999999991</v>
      </c>
      <c r="AG74" s="45"/>
      <c r="AH74" s="9"/>
    </row>
    <row r="75" spans="1:34" s="10" customFormat="1" ht="18.75" customHeight="1" x14ac:dyDescent="0.25">
      <c r="A75" s="53" t="s">
        <v>199</v>
      </c>
      <c r="B75" s="23" t="s">
        <v>200</v>
      </c>
      <c r="C75" s="24">
        <f>SUM(C76:C79)</f>
        <v>1746067</v>
      </c>
      <c r="D75" s="24">
        <f t="shared" ref="D75:AD75" si="46">SUM(D76:D79)</f>
        <v>-256.70000000000073</v>
      </c>
      <c r="E75" s="24">
        <f t="shared" si="46"/>
        <v>1745810.3</v>
      </c>
      <c r="F75" s="24">
        <f t="shared" si="46"/>
        <v>365695.90000000008</v>
      </c>
      <c r="G75" s="24">
        <f t="shared" si="46"/>
        <v>2111506.2000000002</v>
      </c>
      <c r="H75" s="24"/>
      <c r="I75" s="24">
        <f t="shared" si="46"/>
        <v>2111506.2000000002</v>
      </c>
      <c r="J75" s="24">
        <f t="shared" si="46"/>
        <v>91334.199999999968</v>
      </c>
      <c r="K75" s="24">
        <f t="shared" si="46"/>
        <v>2202840.4</v>
      </c>
      <c r="L75" s="24">
        <f t="shared" si="46"/>
        <v>78556.700000000012</v>
      </c>
      <c r="M75" s="24">
        <f t="shared" si="46"/>
        <v>2281397.1</v>
      </c>
      <c r="N75" s="24">
        <f t="shared" si="46"/>
        <v>200230.09999999986</v>
      </c>
      <c r="O75" s="24">
        <f t="shared" si="46"/>
        <v>2481627.2000000002</v>
      </c>
      <c r="P75" s="24"/>
      <c r="Q75" s="24">
        <f t="shared" si="46"/>
        <v>2481627.2000000002</v>
      </c>
      <c r="R75" s="24"/>
      <c r="S75" s="24">
        <f t="shared" si="46"/>
        <v>2481627.2000000002</v>
      </c>
      <c r="T75" s="24">
        <f t="shared" si="46"/>
        <v>115323.80000000005</v>
      </c>
      <c r="U75" s="24">
        <f>SUM(U76:U79)+0.1</f>
        <v>2596951.1</v>
      </c>
      <c r="V75" s="24">
        <f t="shared" si="46"/>
        <v>-33382.79999999993</v>
      </c>
      <c r="W75" s="24">
        <f>SUM(W76:W79)+0.1</f>
        <v>2563568.3000000003</v>
      </c>
      <c r="X75" s="24">
        <f t="shared" si="46"/>
        <v>1500</v>
      </c>
      <c r="Y75" s="24">
        <f>SUM(Y76:Y79)+0.1</f>
        <v>2565068.3000000003</v>
      </c>
      <c r="Z75" s="24">
        <f t="shared" si="46"/>
        <v>28927.199999999953</v>
      </c>
      <c r="AA75" s="24">
        <f>SUM(AA76:AA79)+0.1</f>
        <v>2593995.5000000005</v>
      </c>
      <c r="AB75" s="24">
        <f t="shared" si="46"/>
        <v>4950</v>
      </c>
      <c r="AC75" s="24">
        <f>SUM(AC76:AC79)+0.1</f>
        <v>2598945.5000000005</v>
      </c>
      <c r="AD75" s="24">
        <f t="shared" si="46"/>
        <v>-4438.6000000000058</v>
      </c>
      <c r="AE75" s="24">
        <f>SUM(AE76:AE79)+0.1</f>
        <v>2594506.9000000004</v>
      </c>
      <c r="AF75" s="58">
        <f>SUM(AF76:AF79)+0.1</f>
        <v>848439.89999999991</v>
      </c>
      <c r="AG75" s="45"/>
      <c r="AH75" s="9"/>
    </row>
    <row r="76" spans="1:34" ht="16.5" customHeight="1" x14ac:dyDescent="0.25">
      <c r="A76" s="52" t="s">
        <v>201</v>
      </c>
      <c r="B76" s="42" t="s">
        <v>202</v>
      </c>
      <c r="C76" s="13">
        <v>18122.5</v>
      </c>
      <c r="D76" s="43"/>
      <c r="E76" s="56">
        <f t="shared" ref="E76:E89" si="47">C76+D76</f>
        <v>18122.5</v>
      </c>
      <c r="F76" s="43">
        <v>63903.7</v>
      </c>
      <c r="G76" s="56">
        <f t="shared" ref="G76:G89" si="48">E76+F76</f>
        <v>82026.2</v>
      </c>
      <c r="H76" s="43"/>
      <c r="I76" s="56">
        <f t="shared" ref="I76:I89" si="49">G76+H76</f>
        <v>82026.2</v>
      </c>
      <c r="J76" s="43">
        <v>3675.3000000000029</v>
      </c>
      <c r="K76" s="56">
        <f t="shared" ref="K76:K89" si="50">I76+J76</f>
        <v>85701.5</v>
      </c>
      <c r="L76" s="43">
        <v>60474.299999999988</v>
      </c>
      <c r="M76" s="56">
        <f t="shared" ref="M76:M89" si="51">K76+L76</f>
        <v>146175.79999999999</v>
      </c>
      <c r="N76" s="43"/>
      <c r="O76" s="56">
        <f t="shared" ref="O76:O89" si="52">M76+N76</f>
        <v>146175.79999999999</v>
      </c>
      <c r="P76" s="43"/>
      <c r="Q76" s="56">
        <f t="shared" ref="Q76:Q89" si="53">O76+P76</f>
        <v>146175.79999999999</v>
      </c>
      <c r="R76" s="43"/>
      <c r="S76" s="56">
        <f t="shared" ref="S76:S89" si="54">Q76+R76</f>
        <v>146175.79999999999</v>
      </c>
      <c r="T76" s="43">
        <v>14704.5</v>
      </c>
      <c r="U76" s="56">
        <f t="shared" si="43"/>
        <v>160880.29999999999</v>
      </c>
      <c r="V76" s="43">
        <v>-4150</v>
      </c>
      <c r="W76" s="56">
        <f t="shared" si="44"/>
        <v>156730.29999999999</v>
      </c>
      <c r="X76" s="43"/>
      <c r="Y76" s="56">
        <f t="shared" si="45"/>
        <v>156730.29999999999</v>
      </c>
      <c r="Z76" s="43"/>
      <c r="AA76" s="56">
        <f t="shared" si="41"/>
        <v>156730.29999999999</v>
      </c>
      <c r="AB76" s="43"/>
      <c r="AC76" s="56">
        <f t="shared" si="42"/>
        <v>156730.29999999999</v>
      </c>
      <c r="AD76" s="43">
        <v>-3650.8999999999942</v>
      </c>
      <c r="AE76" s="44">
        <f>AC76+AD76</f>
        <v>153079.4</v>
      </c>
      <c r="AF76" s="15">
        <f>F76+J76+L76+T76+V76+AD76</f>
        <v>134956.9</v>
      </c>
      <c r="AG76" s="45"/>
      <c r="AH76" s="9"/>
    </row>
    <row r="77" spans="1:34" ht="15.75" customHeight="1" x14ac:dyDescent="0.25">
      <c r="A77" s="52" t="s">
        <v>203</v>
      </c>
      <c r="B77" s="42" t="s">
        <v>204</v>
      </c>
      <c r="C77" s="13">
        <v>203404.79999999999</v>
      </c>
      <c r="D77" s="43">
        <v>-50000</v>
      </c>
      <c r="E77" s="56">
        <f t="shared" si="47"/>
        <v>153404.79999999999</v>
      </c>
      <c r="F77" s="43">
        <v>167689.90000000002</v>
      </c>
      <c r="G77" s="56">
        <f t="shared" si="48"/>
        <v>321094.7</v>
      </c>
      <c r="H77" s="43"/>
      <c r="I77" s="56">
        <f t="shared" si="49"/>
        <v>321094.7</v>
      </c>
      <c r="J77" s="43">
        <v>79028.899999999965</v>
      </c>
      <c r="K77" s="56">
        <f t="shared" si="50"/>
        <v>400123.6</v>
      </c>
      <c r="L77" s="43">
        <v>12202.400000000023</v>
      </c>
      <c r="M77" s="56">
        <f t="shared" si="51"/>
        <v>412326</v>
      </c>
      <c r="N77" s="43">
        <v>78972.299999999988</v>
      </c>
      <c r="O77" s="56">
        <f t="shared" si="52"/>
        <v>491298.3</v>
      </c>
      <c r="P77" s="43"/>
      <c r="Q77" s="56">
        <f t="shared" si="53"/>
        <v>491298.3</v>
      </c>
      <c r="R77" s="43"/>
      <c r="S77" s="56">
        <f t="shared" si="54"/>
        <v>491298.3</v>
      </c>
      <c r="T77" s="43">
        <v>21180</v>
      </c>
      <c r="U77" s="56">
        <f t="shared" si="43"/>
        <v>512478.3</v>
      </c>
      <c r="V77" s="43">
        <v>-21798.099999999977</v>
      </c>
      <c r="W77" s="56">
        <f t="shared" si="44"/>
        <v>490680.2</v>
      </c>
      <c r="X77" s="43"/>
      <c r="Y77" s="56">
        <f t="shared" si="45"/>
        <v>490680.2</v>
      </c>
      <c r="Z77" s="43"/>
      <c r="AA77" s="56">
        <f t="shared" si="41"/>
        <v>490680.2</v>
      </c>
      <c r="AB77" s="43"/>
      <c r="AC77" s="56">
        <f t="shared" si="42"/>
        <v>490680.2</v>
      </c>
      <c r="AD77" s="43">
        <v>-1517.7000000000116</v>
      </c>
      <c r="AE77" s="44">
        <f t="shared" ref="AE77:AE79" si="55">AC77+AD77</f>
        <v>489162.5</v>
      </c>
      <c r="AF77" s="15">
        <f>D77+F77+J77+L77+N77+T77+V77+AD77</f>
        <v>285757.7</v>
      </c>
      <c r="AG77" s="45"/>
      <c r="AH77" s="9"/>
    </row>
    <row r="78" spans="1:34" ht="15.75" customHeight="1" x14ac:dyDescent="0.25">
      <c r="A78" s="52" t="s">
        <v>205</v>
      </c>
      <c r="B78" s="42" t="s">
        <v>206</v>
      </c>
      <c r="C78" s="13">
        <v>1494059.5</v>
      </c>
      <c r="D78" s="43">
        <v>50000</v>
      </c>
      <c r="E78" s="56">
        <f t="shared" si="47"/>
        <v>1544059.5</v>
      </c>
      <c r="F78" s="43">
        <v>134102.30000000005</v>
      </c>
      <c r="G78" s="56">
        <f t="shared" si="48"/>
        <v>1678161.8</v>
      </c>
      <c r="H78" s="43"/>
      <c r="I78" s="56">
        <f t="shared" si="49"/>
        <v>1678161.8</v>
      </c>
      <c r="J78" s="43">
        <v>8630</v>
      </c>
      <c r="K78" s="56">
        <f t="shared" si="50"/>
        <v>1686791.8</v>
      </c>
      <c r="L78" s="43">
        <v>5880</v>
      </c>
      <c r="M78" s="56">
        <f t="shared" si="51"/>
        <v>1692671.8</v>
      </c>
      <c r="N78" s="43">
        <v>119797.59999999986</v>
      </c>
      <c r="O78" s="56">
        <f t="shared" si="52"/>
        <v>1812469.4</v>
      </c>
      <c r="P78" s="43"/>
      <c r="Q78" s="56">
        <f t="shared" si="53"/>
        <v>1812469.4</v>
      </c>
      <c r="R78" s="43"/>
      <c r="S78" s="56">
        <f t="shared" si="54"/>
        <v>1812469.4</v>
      </c>
      <c r="T78" s="43">
        <v>79439.300000000047</v>
      </c>
      <c r="U78" s="56">
        <f t="shared" si="43"/>
        <v>1891908.7</v>
      </c>
      <c r="V78" s="43">
        <v>-6426.1999999999534</v>
      </c>
      <c r="W78" s="56">
        <f t="shared" si="44"/>
        <v>1885482.5</v>
      </c>
      <c r="X78" s="43">
        <v>1500</v>
      </c>
      <c r="Y78" s="56">
        <f t="shared" si="45"/>
        <v>1886982.5</v>
      </c>
      <c r="Z78" s="43">
        <v>28927.199999999953</v>
      </c>
      <c r="AA78" s="56">
        <f t="shared" si="41"/>
        <v>1915909.7</v>
      </c>
      <c r="AB78" s="43">
        <v>4950</v>
      </c>
      <c r="AC78" s="56">
        <f t="shared" si="42"/>
        <v>1920859.7</v>
      </c>
      <c r="AD78" s="43">
        <v>730</v>
      </c>
      <c r="AE78" s="44">
        <f t="shared" si="55"/>
        <v>1921589.7</v>
      </c>
      <c r="AF78" s="15">
        <f>D78+F78+J78+L78+N78+T78+V78+X78+Z78+AB78+AD78</f>
        <v>427530.19999999995</v>
      </c>
      <c r="AG78" s="45"/>
      <c r="AH78" s="9"/>
    </row>
    <row r="79" spans="1:34" ht="27.75" customHeight="1" x14ac:dyDescent="0.25">
      <c r="A79" s="52" t="s">
        <v>207</v>
      </c>
      <c r="B79" s="42" t="s">
        <v>208</v>
      </c>
      <c r="C79" s="13">
        <v>30480.2</v>
      </c>
      <c r="D79" s="43">
        <v>-256.70000000000073</v>
      </c>
      <c r="E79" s="56">
        <f t="shared" si="47"/>
        <v>30223.5</v>
      </c>
      <c r="F79" s="43"/>
      <c r="G79" s="56">
        <f t="shared" si="48"/>
        <v>30223.5</v>
      </c>
      <c r="H79" s="43"/>
      <c r="I79" s="56">
        <f t="shared" si="49"/>
        <v>30223.5</v>
      </c>
      <c r="J79" s="43"/>
      <c r="K79" s="56">
        <f t="shared" si="50"/>
        <v>30223.5</v>
      </c>
      <c r="L79" s="43"/>
      <c r="M79" s="56">
        <f t="shared" si="51"/>
        <v>30223.5</v>
      </c>
      <c r="N79" s="43">
        <v>1460.2000000000007</v>
      </c>
      <c r="O79" s="56">
        <f t="shared" si="52"/>
        <v>31683.7</v>
      </c>
      <c r="P79" s="43"/>
      <c r="Q79" s="56">
        <f t="shared" si="53"/>
        <v>31683.7</v>
      </c>
      <c r="R79" s="43"/>
      <c r="S79" s="56">
        <f t="shared" si="54"/>
        <v>31683.7</v>
      </c>
      <c r="T79" s="43"/>
      <c r="U79" s="56">
        <f t="shared" si="43"/>
        <v>31683.7</v>
      </c>
      <c r="V79" s="43">
        <v>-1008.5</v>
      </c>
      <c r="W79" s="56">
        <f t="shared" si="44"/>
        <v>30675.200000000001</v>
      </c>
      <c r="X79" s="43"/>
      <c r="Y79" s="56">
        <f t="shared" si="45"/>
        <v>30675.200000000001</v>
      </c>
      <c r="Z79" s="43"/>
      <c r="AA79" s="56">
        <f t="shared" si="41"/>
        <v>30675.200000000001</v>
      </c>
      <c r="AB79" s="43"/>
      <c r="AC79" s="56">
        <f t="shared" si="42"/>
        <v>30675.200000000001</v>
      </c>
      <c r="AD79" s="43"/>
      <c r="AE79" s="44">
        <f t="shared" si="55"/>
        <v>30675.200000000001</v>
      </c>
      <c r="AF79" s="15">
        <f>D79+N79+V79</f>
        <v>195</v>
      </c>
      <c r="AG79" s="45"/>
      <c r="AH79" s="9"/>
    </row>
    <row r="80" spans="1:34" s="10" customFormat="1" ht="21" customHeight="1" x14ac:dyDescent="0.25">
      <c r="A80" s="53" t="s">
        <v>209</v>
      </c>
      <c r="B80" s="23" t="s">
        <v>210</v>
      </c>
      <c r="C80" s="24">
        <f t="shared" ref="C80:AF80" si="56">SUM(C81:C83)</f>
        <v>195874.9</v>
      </c>
      <c r="D80" s="24">
        <f>D81+D82+D83</f>
        <v>-287</v>
      </c>
      <c r="E80" s="24">
        <f t="shared" ref="E80:AE80" si="57">E81+E82+E83</f>
        <v>195587.9</v>
      </c>
      <c r="F80" s="24"/>
      <c r="G80" s="24">
        <f t="shared" si="57"/>
        <v>195587.9</v>
      </c>
      <c r="H80" s="24"/>
      <c r="I80" s="24">
        <f t="shared" si="57"/>
        <v>195587.9</v>
      </c>
      <c r="J80" s="24"/>
      <c r="K80" s="24">
        <f t="shared" si="57"/>
        <v>195587.9</v>
      </c>
      <c r="L80" s="24"/>
      <c r="M80" s="24">
        <f t="shared" si="57"/>
        <v>195587.9</v>
      </c>
      <c r="N80" s="24"/>
      <c r="O80" s="24">
        <f t="shared" si="57"/>
        <v>195587.9</v>
      </c>
      <c r="P80" s="24"/>
      <c r="Q80" s="24">
        <f t="shared" si="57"/>
        <v>195587.9</v>
      </c>
      <c r="R80" s="24"/>
      <c r="S80" s="24">
        <f t="shared" si="57"/>
        <v>195587.9</v>
      </c>
      <c r="T80" s="24"/>
      <c r="U80" s="24">
        <f t="shared" si="57"/>
        <v>195587.9</v>
      </c>
      <c r="V80" s="24"/>
      <c r="W80" s="24">
        <f t="shared" si="57"/>
        <v>195587.9</v>
      </c>
      <c r="X80" s="24"/>
      <c r="Y80" s="24">
        <f t="shared" si="57"/>
        <v>195587.9</v>
      </c>
      <c r="Z80" s="24">
        <f t="shared" si="57"/>
        <v>10000.299999999988</v>
      </c>
      <c r="AA80" s="24">
        <f t="shared" si="57"/>
        <v>205588.19999999998</v>
      </c>
      <c r="AB80" s="24"/>
      <c r="AC80" s="24">
        <f t="shared" si="57"/>
        <v>205588.19999999998</v>
      </c>
      <c r="AD80" s="24">
        <f t="shared" si="57"/>
        <v>-2156.3999999999942</v>
      </c>
      <c r="AE80" s="24">
        <f t="shared" si="57"/>
        <v>203431.8</v>
      </c>
      <c r="AF80" s="58">
        <f t="shared" si="56"/>
        <v>7556.8999999999942</v>
      </c>
      <c r="AG80" s="45"/>
      <c r="AH80" s="9"/>
    </row>
    <row r="81" spans="1:34" ht="15.75" customHeight="1" x14ac:dyDescent="0.25">
      <c r="A81" s="52" t="s">
        <v>211</v>
      </c>
      <c r="B81" s="42" t="s">
        <v>212</v>
      </c>
      <c r="C81" s="47">
        <v>55535.199999999997</v>
      </c>
      <c r="D81" s="43"/>
      <c r="E81" s="56">
        <f t="shared" si="47"/>
        <v>55535.199999999997</v>
      </c>
      <c r="F81" s="43"/>
      <c r="G81" s="56">
        <f t="shared" si="48"/>
        <v>55535.199999999997</v>
      </c>
      <c r="H81" s="43"/>
      <c r="I81" s="56">
        <f t="shared" si="49"/>
        <v>55535.199999999997</v>
      </c>
      <c r="J81" s="43"/>
      <c r="K81" s="56">
        <f t="shared" si="50"/>
        <v>55535.199999999997</v>
      </c>
      <c r="L81" s="43"/>
      <c r="M81" s="56">
        <f t="shared" si="51"/>
        <v>55535.199999999997</v>
      </c>
      <c r="N81" s="43"/>
      <c r="O81" s="56">
        <f t="shared" si="52"/>
        <v>55535.199999999997</v>
      </c>
      <c r="P81" s="43"/>
      <c r="Q81" s="56">
        <f t="shared" si="53"/>
        <v>55535.199999999997</v>
      </c>
      <c r="R81" s="43"/>
      <c r="S81" s="56">
        <f t="shared" si="54"/>
        <v>55535.199999999997</v>
      </c>
      <c r="T81" s="43"/>
      <c r="U81" s="56">
        <f t="shared" si="43"/>
        <v>55535.199999999997</v>
      </c>
      <c r="V81" s="43"/>
      <c r="W81" s="56">
        <f t="shared" si="44"/>
        <v>55535.199999999997</v>
      </c>
      <c r="X81" s="43"/>
      <c r="Y81" s="56">
        <f t="shared" si="45"/>
        <v>55535.199999999997</v>
      </c>
      <c r="Z81" s="43"/>
      <c r="AA81" s="56">
        <f t="shared" si="41"/>
        <v>55535.199999999997</v>
      </c>
      <c r="AB81" s="43"/>
      <c r="AC81" s="56">
        <f t="shared" si="42"/>
        <v>55535.199999999997</v>
      </c>
      <c r="AD81" s="43"/>
      <c r="AE81" s="44">
        <f>AC81+AD81</f>
        <v>55535.199999999997</v>
      </c>
      <c r="AF81" s="15"/>
      <c r="AG81" s="45"/>
      <c r="AH81" s="9"/>
    </row>
    <row r="82" spans="1:34" ht="15.75" customHeight="1" x14ac:dyDescent="0.25">
      <c r="A82" s="52" t="s">
        <v>213</v>
      </c>
      <c r="B82" s="42" t="s">
        <v>214</v>
      </c>
      <c r="C82" s="47">
        <v>19711.099999999999</v>
      </c>
      <c r="D82" s="43"/>
      <c r="E82" s="56">
        <f t="shared" si="47"/>
        <v>19711.099999999999</v>
      </c>
      <c r="F82" s="43"/>
      <c r="G82" s="56">
        <f t="shared" si="48"/>
        <v>19711.099999999999</v>
      </c>
      <c r="H82" s="43"/>
      <c r="I82" s="56">
        <f t="shared" si="49"/>
        <v>19711.099999999999</v>
      </c>
      <c r="J82" s="43"/>
      <c r="K82" s="56">
        <f t="shared" si="50"/>
        <v>19711.099999999999</v>
      </c>
      <c r="L82" s="43"/>
      <c r="M82" s="56">
        <f t="shared" si="51"/>
        <v>19711.099999999999</v>
      </c>
      <c r="N82" s="43"/>
      <c r="O82" s="56">
        <f t="shared" si="52"/>
        <v>19711.099999999999</v>
      </c>
      <c r="P82" s="43"/>
      <c r="Q82" s="56">
        <f t="shared" si="53"/>
        <v>19711.099999999999</v>
      </c>
      <c r="R82" s="43"/>
      <c r="S82" s="56">
        <f t="shared" si="54"/>
        <v>19711.099999999999</v>
      </c>
      <c r="T82" s="43"/>
      <c r="U82" s="56">
        <f t="shared" si="43"/>
        <v>19711.099999999999</v>
      </c>
      <c r="V82" s="43"/>
      <c r="W82" s="56">
        <f t="shared" si="44"/>
        <v>19711.099999999999</v>
      </c>
      <c r="X82" s="43"/>
      <c r="Y82" s="56">
        <f t="shared" si="45"/>
        <v>19711.099999999999</v>
      </c>
      <c r="Z82" s="43"/>
      <c r="AA82" s="56">
        <f t="shared" si="41"/>
        <v>19711.099999999999</v>
      </c>
      <c r="AB82" s="43"/>
      <c r="AC82" s="56">
        <f t="shared" si="42"/>
        <v>19711.099999999999</v>
      </c>
      <c r="AD82" s="43"/>
      <c r="AE82" s="44">
        <f t="shared" ref="AE82:AE83" si="58">AC82+AD82</f>
        <v>19711.099999999999</v>
      </c>
      <c r="AF82" s="15"/>
      <c r="AG82" s="45"/>
      <c r="AH82" s="9"/>
    </row>
    <row r="83" spans="1:34" ht="25.5" x14ac:dyDescent="0.25">
      <c r="A83" s="52" t="s">
        <v>215</v>
      </c>
      <c r="B83" s="42" t="s">
        <v>216</v>
      </c>
      <c r="C83" s="13">
        <v>120628.6</v>
      </c>
      <c r="D83" s="43">
        <v>-287</v>
      </c>
      <c r="E83" s="56">
        <f t="shared" si="47"/>
        <v>120341.6</v>
      </c>
      <c r="F83" s="43"/>
      <c r="G83" s="56">
        <f t="shared" si="48"/>
        <v>120341.6</v>
      </c>
      <c r="H83" s="43"/>
      <c r="I83" s="56">
        <f t="shared" si="49"/>
        <v>120341.6</v>
      </c>
      <c r="J83" s="43"/>
      <c r="K83" s="56">
        <f t="shared" si="50"/>
        <v>120341.6</v>
      </c>
      <c r="L83" s="43"/>
      <c r="M83" s="56">
        <f t="shared" si="51"/>
        <v>120341.6</v>
      </c>
      <c r="N83" s="43"/>
      <c r="O83" s="56">
        <f t="shared" si="52"/>
        <v>120341.6</v>
      </c>
      <c r="P83" s="43"/>
      <c r="Q83" s="56">
        <f t="shared" si="53"/>
        <v>120341.6</v>
      </c>
      <c r="R83" s="43"/>
      <c r="S83" s="56">
        <f t="shared" si="54"/>
        <v>120341.6</v>
      </c>
      <c r="T83" s="43"/>
      <c r="U83" s="56">
        <f t="shared" si="43"/>
        <v>120341.6</v>
      </c>
      <c r="V83" s="43"/>
      <c r="W83" s="56">
        <f t="shared" si="44"/>
        <v>120341.6</v>
      </c>
      <c r="X83" s="43"/>
      <c r="Y83" s="56">
        <f t="shared" si="45"/>
        <v>120341.6</v>
      </c>
      <c r="Z83" s="43">
        <v>10000.299999999988</v>
      </c>
      <c r="AA83" s="56">
        <f t="shared" si="41"/>
        <v>130341.9</v>
      </c>
      <c r="AB83" s="43"/>
      <c r="AC83" s="56">
        <f t="shared" si="42"/>
        <v>130341.9</v>
      </c>
      <c r="AD83" s="43">
        <v>-2156.3999999999942</v>
      </c>
      <c r="AE83" s="44">
        <f t="shared" si="58"/>
        <v>128185.5</v>
      </c>
      <c r="AF83" s="15">
        <f>D83+Z83+AD83</f>
        <v>7556.8999999999942</v>
      </c>
      <c r="AG83" s="45"/>
      <c r="AH83" s="9"/>
    </row>
    <row r="84" spans="1:34" s="10" customFormat="1" ht="17.25" customHeight="1" x14ac:dyDescent="0.25">
      <c r="A84" s="53" t="s">
        <v>217</v>
      </c>
      <c r="B84" s="23" t="s">
        <v>218</v>
      </c>
      <c r="C84" s="24">
        <f>SUM(C85)</f>
        <v>1736518.6</v>
      </c>
      <c r="D84" s="24"/>
      <c r="E84" s="24">
        <f t="shared" ref="E84:AE84" si="59">SUM(E85)</f>
        <v>1736518.6</v>
      </c>
      <c r="F84" s="24"/>
      <c r="G84" s="24">
        <f t="shared" si="59"/>
        <v>1736518.6</v>
      </c>
      <c r="H84" s="24"/>
      <c r="I84" s="24">
        <f t="shared" si="59"/>
        <v>1736518.6</v>
      </c>
      <c r="J84" s="24"/>
      <c r="K84" s="24">
        <f t="shared" si="59"/>
        <v>1736518.6</v>
      </c>
      <c r="L84" s="24">
        <f t="shared" si="59"/>
        <v>0</v>
      </c>
      <c r="M84" s="24">
        <f t="shared" si="59"/>
        <v>1736518.6</v>
      </c>
      <c r="N84" s="24"/>
      <c r="O84" s="24">
        <f t="shared" si="59"/>
        <v>1736518.6</v>
      </c>
      <c r="P84" s="24"/>
      <c r="Q84" s="24">
        <f t="shared" si="59"/>
        <v>1736518.6</v>
      </c>
      <c r="R84" s="24"/>
      <c r="S84" s="24">
        <f t="shared" si="59"/>
        <v>1736518.6</v>
      </c>
      <c r="T84" s="24"/>
      <c r="U84" s="24">
        <f t="shared" si="59"/>
        <v>1736518.6</v>
      </c>
      <c r="V84" s="24"/>
      <c r="W84" s="24">
        <f t="shared" si="59"/>
        <v>1736518.6</v>
      </c>
      <c r="X84" s="24"/>
      <c r="Y84" s="24">
        <f t="shared" si="59"/>
        <v>1736518.6</v>
      </c>
      <c r="Z84" s="24">
        <f t="shared" si="59"/>
        <v>-1075936.5</v>
      </c>
      <c r="AA84" s="24">
        <f t="shared" si="59"/>
        <v>660582.10000000009</v>
      </c>
      <c r="AB84" s="24">
        <f t="shared" si="59"/>
        <v>-200000.00000000012</v>
      </c>
      <c r="AC84" s="24">
        <f t="shared" si="59"/>
        <v>460582.1</v>
      </c>
      <c r="AD84" s="24">
        <f t="shared" si="59"/>
        <v>-71400</v>
      </c>
      <c r="AE84" s="24">
        <f t="shared" si="59"/>
        <v>389182.1</v>
      </c>
      <c r="AF84" s="58">
        <f>AF85</f>
        <v>-1347336.5</v>
      </c>
      <c r="AG84" s="45"/>
      <c r="AH84" s="9"/>
    </row>
    <row r="85" spans="1:34" ht="25.5" x14ac:dyDescent="0.25">
      <c r="A85" s="52" t="s">
        <v>219</v>
      </c>
      <c r="B85" s="42" t="s">
        <v>220</v>
      </c>
      <c r="C85" s="13">
        <v>1736518.6</v>
      </c>
      <c r="D85" s="43"/>
      <c r="E85" s="56">
        <f t="shared" si="47"/>
        <v>1736518.6</v>
      </c>
      <c r="F85" s="43"/>
      <c r="G85" s="56">
        <f t="shared" si="48"/>
        <v>1736518.6</v>
      </c>
      <c r="H85" s="43"/>
      <c r="I85" s="56">
        <f t="shared" si="49"/>
        <v>1736518.6</v>
      </c>
      <c r="J85" s="43"/>
      <c r="K85" s="56">
        <f t="shared" si="50"/>
        <v>1736518.6</v>
      </c>
      <c r="L85" s="43"/>
      <c r="M85" s="56">
        <f t="shared" si="51"/>
        <v>1736518.6</v>
      </c>
      <c r="N85" s="43"/>
      <c r="O85" s="56">
        <f t="shared" si="52"/>
        <v>1736518.6</v>
      </c>
      <c r="P85" s="43"/>
      <c r="Q85" s="56">
        <f t="shared" si="53"/>
        <v>1736518.6</v>
      </c>
      <c r="R85" s="43"/>
      <c r="S85" s="56">
        <f t="shared" si="54"/>
        <v>1736518.6</v>
      </c>
      <c r="T85" s="43"/>
      <c r="U85" s="56">
        <f t="shared" si="43"/>
        <v>1736518.6</v>
      </c>
      <c r="V85" s="43"/>
      <c r="W85" s="56">
        <f t="shared" si="44"/>
        <v>1736518.6</v>
      </c>
      <c r="X85" s="43"/>
      <c r="Y85" s="56">
        <f t="shared" si="45"/>
        <v>1736518.6</v>
      </c>
      <c r="Z85" s="43">
        <v>-1075936.5</v>
      </c>
      <c r="AA85" s="56">
        <f t="shared" si="41"/>
        <v>660582.10000000009</v>
      </c>
      <c r="AB85" s="43">
        <v>-200000.00000000012</v>
      </c>
      <c r="AC85" s="56">
        <f t="shared" si="42"/>
        <v>460582.1</v>
      </c>
      <c r="AD85" s="43">
        <v>-71400</v>
      </c>
      <c r="AE85" s="44">
        <f>AC85+AD85</f>
        <v>389182.1</v>
      </c>
      <c r="AF85" s="15">
        <f>Z85+AB85+AD85</f>
        <v>-1347336.5</v>
      </c>
      <c r="AG85" s="45"/>
      <c r="AH85" s="9"/>
    </row>
    <row r="86" spans="1:34" s="10" customFormat="1" ht="27" customHeight="1" x14ac:dyDescent="0.25">
      <c r="A86" s="53" t="s">
        <v>221</v>
      </c>
      <c r="B86" s="23" t="s">
        <v>222</v>
      </c>
      <c r="C86" s="24">
        <f t="shared" ref="C86:AF86" si="60">SUM(C87:C89)</f>
        <v>8700490</v>
      </c>
      <c r="D86" s="24">
        <f t="shared" si="60"/>
        <v>1525179.4</v>
      </c>
      <c r="E86" s="24">
        <f t="shared" si="60"/>
        <v>10225669.399999999</v>
      </c>
      <c r="F86" s="24">
        <f t="shared" si="60"/>
        <v>803505.59999999963</v>
      </c>
      <c r="G86" s="24">
        <f t="shared" si="60"/>
        <v>11029175</v>
      </c>
      <c r="H86" s="24"/>
      <c r="I86" s="24">
        <f t="shared" si="60"/>
        <v>11029175</v>
      </c>
      <c r="J86" s="24">
        <f t="shared" si="60"/>
        <v>2350049.9000000004</v>
      </c>
      <c r="K86" s="24">
        <f t="shared" si="60"/>
        <v>13379224.899999999</v>
      </c>
      <c r="L86" s="24">
        <f t="shared" si="60"/>
        <v>-69500</v>
      </c>
      <c r="M86" s="24">
        <f t="shared" si="60"/>
        <v>13309724.899999999</v>
      </c>
      <c r="N86" s="24">
        <f t="shared" si="60"/>
        <v>753960</v>
      </c>
      <c r="O86" s="24">
        <f t="shared" si="60"/>
        <v>14063684.899999999</v>
      </c>
      <c r="P86" s="24">
        <f t="shared" si="60"/>
        <v>1011113.9000000004</v>
      </c>
      <c r="Q86" s="24">
        <f t="shared" si="60"/>
        <v>15074798.800000001</v>
      </c>
      <c r="R86" s="24">
        <f t="shared" si="60"/>
        <v>46515.199999999255</v>
      </c>
      <c r="S86" s="24">
        <f t="shared" si="60"/>
        <v>15121314</v>
      </c>
      <c r="T86" s="24">
        <f t="shared" si="60"/>
        <v>264034.20000000112</v>
      </c>
      <c r="U86" s="24">
        <f t="shared" si="60"/>
        <v>15385348.199999999</v>
      </c>
      <c r="V86" s="24">
        <f t="shared" si="60"/>
        <v>-1797239.4000000004</v>
      </c>
      <c r="W86" s="24">
        <f t="shared" si="60"/>
        <v>13588108.800000001</v>
      </c>
      <c r="X86" s="24">
        <f t="shared" si="60"/>
        <v>-62355.299999999814</v>
      </c>
      <c r="Y86" s="24">
        <f t="shared" si="60"/>
        <v>13525753.5</v>
      </c>
      <c r="Z86" s="24">
        <f t="shared" si="60"/>
        <v>246910.69999999925</v>
      </c>
      <c r="AA86" s="24">
        <f t="shared" si="60"/>
        <v>13772664.199999999</v>
      </c>
      <c r="AB86" s="24">
        <f t="shared" si="60"/>
        <v>1024865.0000000001</v>
      </c>
      <c r="AC86" s="24">
        <f t="shared" si="60"/>
        <v>14797529.199999999</v>
      </c>
      <c r="AD86" s="24">
        <f t="shared" si="60"/>
        <v>2263640.7000000011</v>
      </c>
      <c r="AE86" s="24">
        <f t="shared" si="60"/>
        <v>17061169.899999999</v>
      </c>
      <c r="AF86" s="58">
        <f t="shared" si="60"/>
        <v>8360679.9000000013</v>
      </c>
      <c r="AG86" s="45"/>
      <c r="AH86" s="9"/>
    </row>
    <row r="87" spans="1:34" ht="38.25" x14ac:dyDescent="0.25">
      <c r="A87" s="52" t="s">
        <v>223</v>
      </c>
      <c r="B87" s="42" t="s">
        <v>224</v>
      </c>
      <c r="C87" s="13">
        <v>4211852.8</v>
      </c>
      <c r="D87" s="43"/>
      <c r="E87" s="56">
        <f t="shared" si="47"/>
        <v>4211852.8</v>
      </c>
      <c r="F87" s="43"/>
      <c r="G87" s="56">
        <f t="shared" si="48"/>
        <v>4211852.8</v>
      </c>
      <c r="H87" s="43"/>
      <c r="I87" s="56">
        <f t="shared" si="49"/>
        <v>4211852.8</v>
      </c>
      <c r="J87" s="43"/>
      <c r="K87" s="56">
        <f t="shared" si="50"/>
        <v>4211852.8</v>
      </c>
      <c r="L87" s="43"/>
      <c r="M87" s="56">
        <f t="shared" si="51"/>
        <v>4211852.8</v>
      </c>
      <c r="N87" s="43"/>
      <c r="O87" s="56">
        <f t="shared" si="52"/>
        <v>4211852.8</v>
      </c>
      <c r="P87" s="43"/>
      <c r="Q87" s="56">
        <f t="shared" si="53"/>
        <v>4211852.8</v>
      </c>
      <c r="R87" s="43"/>
      <c r="S87" s="56">
        <f t="shared" si="54"/>
        <v>4211852.8</v>
      </c>
      <c r="T87" s="43"/>
      <c r="U87" s="56">
        <f t="shared" si="43"/>
        <v>4211852.8</v>
      </c>
      <c r="V87" s="43"/>
      <c r="W87" s="56">
        <f t="shared" si="44"/>
        <v>4211852.8</v>
      </c>
      <c r="X87" s="43">
        <v>-6591.8999999994412</v>
      </c>
      <c r="Y87" s="56">
        <f t="shared" si="45"/>
        <v>4205260.9000000004</v>
      </c>
      <c r="Z87" s="43"/>
      <c r="AA87" s="56">
        <f t="shared" si="41"/>
        <v>4205260.9000000004</v>
      </c>
      <c r="AB87" s="43"/>
      <c r="AC87" s="56">
        <f t="shared" si="42"/>
        <v>4205260.9000000004</v>
      </c>
      <c r="AD87" s="43"/>
      <c r="AE87" s="44">
        <f>AC87+AD87</f>
        <v>4205260.9000000004</v>
      </c>
      <c r="AF87" s="15">
        <f>X87</f>
        <v>-6591.8999999994412</v>
      </c>
      <c r="AG87" s="45"/>
      <c r="AH87" s="9"/>
    </row>
    <row r="88" spans="1:34" ht="15" customHeight="1" x14ac:dyDescent="0.25">
      <c r="A88" s="52" t="s">
        <v>225</v>
      </c>
      <c r="B88" s="42" t="s">
        <v>226</v>
      </c>
      <c r="C88" s="13">
        <v>460490.1</v>
      </c>
      <c r="D88" s="43"/>
      <c r="E88" s="56">
        <f t="shared" si="47"/>
        <v>460490.1</v>
      </c>
      <c r="F88" s="43"/>
      <c r="G88" s="56">
        <f t="shared" si="48"/>
        <v>460490.1</v>
      </c>
      <c r="H88" s="43"/>
      <c r="I88" s="56">
        <f t="shared" si="49"/>
        <v>460490.1</v>
      </c>
      <c r="J88" s="43"/>
      <c r="K88" s="56">
        <f t="shared" si="50"/>
        <v>460490.1</v>
      </c>
      <c r="L88" s="43"/>
      <c r="M88" s="56">
        <f t="shared" si="51"/>
        <v>460490.1</v>
      </c>
      <c r="N88" s="43"/>
      <c r="O88" s="56">
        <f t="shared" si="52"/>
        <v>460490.1</v>
      </c>
      <c r="P88" s="43"/>
      <c r="Q88" s="56">
        <f t="shared" si="53"/>
        <v>460490.1</v>
      </c>
      <c r="R88" s="43"/>
      <c r="S88" s="56">
        <f t="shared" si="54"/>
        <v>460490.1</v>
      </c>
      <c r="T88" s="43"/>
      <c r="U88" s="56">
        <f t="shared" si="43"/>
        <v>460490.1</v>
      </c>
      <c r="V88" s="43"/>
      <c r="W88" s="56">
        <f t="shared" si="44"/>
        <v>460490.1</v>
      </c>
      <c r="X88" s="43"/>
      <c r="Y88" s="56">
        <f t="shared" si="45"/>
        <v>460490.1</v>
      </c>
      <c r="Z88" s="43"/>
      <c r="AA88" s="56">
        <f t="shared" si="41"/>
        <v>460490.1</v>
      </c>
      <c r="AB88" s="43">
        <v>1024865.0000000001</v>
      </c>
      <c r="AC88" s="56">
        <f t="shared" si="42"/>
        <v>1485355.1</v>
      </c>
      <c r="AD88" s="43"/>
      <c r="AE88" s="44">
        <f t="shared" ref="AE88:AE89" si="61">AC88+AD88</f>
        <v>1485355.1</v>
      </c>
      <c r="AF88" s="15">
        <f>AB88</f>
        <v>1024865.0000000001</v>
      </c>
      <c r="AG88" s="45"/>
      <c r="AH88" s="9"/>
    </row>
    <row r="89" spans="1:34" ht="15" customHeight="1" x14ac:dyDescent="0.25">
      <c r="A89" s="52" t="s">
        <v>227</v>
      </c>
      <c r="B89" s="42" t="s">
        <v>228</v>
      </c>
      <c r="C89" s="13">
        <v>4028147.1</v>
      </c>
      <c r="D89" s="43">
        <v>1525179.4</v>
      </c>
      <c r="E89" s="56">
        <f t="shared" si="47"/>
        <v>5553326.5</v>
      </c>
      <c r="F89" s="43">
        <v>803505.59999999963</v>
      </c>
      <c r="G89" s="56">
        <f t="shared" si="48"/>
        <v>6356832.0999999996</v>
      </c>
      <c r="H89" s="43"/>
      <c r="I89" s="56">
        <f t="shared" si="49"/>
        <v>6356832.0999999996</v>
      </c>
      <c r="J89" s="43">
        <v>2350049.9000000004</v>
      </c>
      <c r="K89" s="56">
        <f t="shared" si="50"/>
        <v>8706882</v>
      </c>
      <c r="L89" s="43">
        <v>-69500</v>
      </c>
      <c r="M89" s="56">
        <f t="shared" si="51"/>
        <v>8637382</v>
      </c>
      <c r="N89" s="43">
        <v>753960</v>
      </c>
      <c r="O89" s="56">
        <f t="shared" si="52"/>
        <v>9391342</v>
      </c>
      <c r="P89" s="43">
        <v>1011113.9000000004</v>
      </c>
      <c r="Q89" s="56">
        <f t="shared" si="53"/>
        <v>10402455.9</v>
      </c>
      <c r="R89" s="43">
        <v>46515.199999999255</v>
      </c>
      <c r="S89" s="56">
        <f t="shared" si="54"/>
        <v>10448971.1</v>
      </c>
      <c r="T89" s="43">
        <v>264034.20000000112</v>
      </c>
      <c r="U89" s="56">
        <f t="shared" si="43"/>
        <v>10713005.300000001</v>
      </c>
      <c r="V89" s="43">
        <v>-1797239.4000000004</v>
      </c>
      <c r="W89" s="56">
        <f t="shared" si="44"/>
        <v>8915765.9000000004</v>
      </c>
      <c r="X89" s="43">
        <v>-55763.400000000373</v>
      </c>
      <c r="Y89" s="56">
        <f t="shared" si="45"/>
        <v>8860002.5</v>
      </c>
      <c r="Z89" s="43">
        <v>246910.69999999925</v>
      </c>
      <c r="AA89" s="56">
        <f t="shared" si="41"/>
        <v>9106913.1999999993</v>
      </c>
      <c r="AB89" s="43"/>
      <c r="AC89" s="56">
        <f t="shared" si="42"/>
        <v>9106913.1999999993</v>
      </c>
      <c r="AD89" s="43">
        <v>2263640.7000000011</v>
      </c>
      <c r="AE89" s="44">
        <f t="shared" si="61"/>
        <v>11370553.9</v>
      </c>
      <c r="AF89" s="15">
        <f>D89+F89+J89+L89+N89+P89+R89+T89+V89+X89+Z89+AD89</f>
        <v>7342406.8000000007</v>
      </c>
      <c r="AG89" s="45"/>
      <c r="AH89" s="9"/>
    </row>
    <row r="90" spans="1:34" s="10" customFormat="1" ht="15.75" customHeight="1" thickBot="1" x14ac:dyDescent="0.3">
      <c r="A90" s="83" t="s">
        <v>229</v>
      </c>
      <c r="B90" s="84"/>
      <c r="C90" s="30">
        <f>SUM(C7+C18+C21+C26+C37+C43+C48+C57+C60+C68+C75+C80+C84+C86)-0.2</f>
        <v>154905164.5</v>
      </c>
      <c r="D90" s="30">
        <f>SUM(D7+D18+D21+D26+D37+D43+D48+D57+D60+D68+D75+D80+D84+D86)</f>
        <v>3619890.0999999987</v>
      </c>
      <c r="E90" s="30">
        <f>SUM(E7+E18+E21+E26+E37+E43+E48+E57+E60+E68+E75+E80+E84+E86)-0.1</f>
        <v>158525054.50000003</v>
      </c>
      <c r="F90" s="30">
        <f t="shared" ref="F90:V90" si="62">SUM(F7+F18+F21+F26+F37+F43+F48+F57+F60+F68+F75+F80+F84+F86)</f>
        <v>4114571.3000000031</v>
      </c>
      <c r="G90" s="30">
        <f>SUM(G7+G18+G21+G26+G37+G43+G48+G57+G60+G68+G75+G80+G84+G86)-0.1</f>
        <v>162639625.90000001</v>
      </c>
      <c r="H90" s="30">
        <f t="shared" si="62"/>
        <v>2105970</v>
      </c>
      <c r="I90" s="30">
        <f>SUM(I7+I18+I21+I26+I37+I43+I48+I57+I60+I68+I75+I80+I84+I86)-0.1</f>
        <v>164745595.90000001</v>
      </c>
      <c r="J90" s="30">
        <f t="shared" si="62"/>
        <v>5129249.0999999959</v>
      </c>
      <c r="K90" s="30">
        <f>SUM(K7+K18+K21+K26+K37+K43+K48+K57+K60+K68+K75+K80+K84+K86)-0.1</f>
        <v>169874845.09999999</v>
      </c>
      <c r="L90" s="30">
        <f t="shared" si="62"/>
        <v>5914995.5000000047</v>
      </c>
      <c r="M90" s="30">
        <f>SUM(M7+M18+M21+M26+M37+M43+M48+M57+M60+M68+M75+M80+M84+M86)-0.2</f>
        <v>175789840.60000002</v>
      </c>
      <c r="N90" s="30">
        <f t="shared" si="62"/>
        <v>2547664.4999999991</v>
      </c>
      <c r="O90" s="30">
        <f>SUM(O7+O18+O21+O26+O37+O43+O48+O57+O60+O68+O75+O80+O84+O86)-0.1</f>
        <v>178337505</v>
      </c>
      <c r="P90" s="30">
        <f t="shared" si="62"/>
        <v>4244925.3999999985</v>
      </c>
      <c r="Q90" s="30">
        <f t="shared" si="62"/>
        <v>182582430.39999998</v>
      </c>
      <c r="R90" s="30">
        <f t="shared" si="62"/>
        <v>330000.0999999987</v>
      </c>
      <c r="S90" s="30">
        <f t="shared" si="62"/>
        <v>182912430.5</v>
      </c>
      <c r="T90" s="30">
        <f t="shared" si="62"/>
        <v>2395157.5000000009</v>
      </c>
      <c r="U90" s="30">
        <f>SUM(U7+U18+U21+U26+U37+U43+U48+U57+U60+U68+U75+U80+U84+U86)+0.1</f>
        <v>185307587.99999997</v>
      </c>
      <c r="V90" s="30">
        <f t="shared" si="62"/>
        <v>2175806.8000000035</v>
      </c>
      <c r="W90" s="30">
        <f>SUM(W7+W18+W21+W26+W37+W43+W48+W57+W60+W68+W75+W80+W84+W86)+0.1</f>
        <v>187483394.69999999</v>
      </c>
      <c r="X90" s="30">
        <f>SUM(X7+X18+X21+X26+X37+X43+X48+X57+X60+X68+X75+X80+X84+X86)</f>
        <v>3001847.4999999958</v>
      </c>
      <c r="Y90" s="30">
        <f>SUM(Y7+Y18+Y21+Y26+Y37+Y43+Y48+Y57+Y60+Y68+Y75+Y80+Y84+Y86)</f>
        <v>190485242.80000001</v>
      </c>
      <c r="Z90" s="30">
        <f>SUM(Z7+Z18+Z21+Z26+Z37+Z43+Z48+Z57+Z60+Z68+Z75+Z80+Z84+Z86)</f>
        <v>1596629.7999999998</v>
      </c>
      <c r="AA90" s="30">
        <f>SUM(AA7+AA18+AA21+AA26+AA37+AA43+AA48+AA57+AA60+AA68+AA75+AA80+AA84+AA86)-0.2</f>
        <v>192081872</v>
      </c>
      <c r="AB90" s="30">
        <f>SUM(AB7+AB18+AB21+AB26+AB37+AB43+AB48+AB57+AB60+AB68+AB75+AB80+AB84+AB86)-0.1</f>
        <v>1300531.3000000003</v>
      </c>
      <c r="AC90" s="30">
        <f>SUM(AC7+AC18+AC21+AC26+AC37+AC43+AC48+AC57+AC60+AC68+AC75+AC80+AC84+AC86)-0.2</f>
        <v>193382403.30000001</v>
      </c>
      <c r="AD90" s="30">
        <f>SUM(AD7+AD18+AD21+AD26+AD37+AD43+AD48+AD57+AD60+AD68+AD75+AD80+AD84+AD86)</f>
        <v>578611.19999999902</v>
      </c>
      <c r="AE90" s="30">
        <f>SUM(AE7+AE18+AE21+AE26+AE37+AE43+AE48+AE57+AE60+AE68+AE75+AE80+AE84+AE86)-0.2</f>
        <v>193961014.80000004</v>
      </c>
      <c r="AF90" s="59">
        <f>SUM(AF7+AF18+AF21+AF26+AF37+AF43+AF48+AF57+AF60+AF68+AF75+AF80+AF84+AF86)</f>
        <v>39055850.29999999</v>
      </c>
      <c r="AG90" s="45"/>
      <c r="AH90" s="9"/>
    </row>
    <row r="91" spans="1:34" ht="15.75" x14ac:dyDescent="0.25">
      <c r="AE91" s="25"/>
      <c r="AG91" s="45"/>
    </row>
    <row r="92" spans="1:34" x14ac:dyDescent="0.2">
      <c r="AE92" s="25"/>
    </row>
    <row r="93" spans="1:34" x14ac:dyDescent="0.2">
      <c r="C93" s="32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25"/>
      <c r="AF93" s="25"/>
      <c r="AH93" s="25"/>
    </row>
    <row r="94" spans="1:34" x14ac:dyDescent="0.2"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25"/>
      <c r="AG94" s="49"/>
    </row>
    <row r="95" spans="1:34" x14ac:dyDescent="0.2"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25"/>
    </row>
    <row r="96" spans="1:34" x14ac:dyDescent="0.2">
      <c r="AE96" s="25"/>
    </row>
    <row r="97" spans="4:32" x14ac:dyDescent="0.2">
      <c r="AE97" s="25"/>
      <c r="AF97" s="25"/>
    </row>
    <row r="98" spans="4:32" x14ac:dyDescent="0.2">
      <c r="AE98" s="25"/>
      <c r="AF98" s="25"/>
    </row>
    <row r="99" spans="4:32" x14ac:dyDescent="0.2"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25"/>
    </row>
    <row r="100" spans="4:32" x14ac:dyDescent="0.2">
      <c r="AE100" s="25"/>
    </row>
  </sheetData>
  <mergeCells count="21">
    <mergeCell ref="V4:W4"/>
    <mergeCell ref="T4:U4"/>
    <mergeCell ref="R4:S4"/>
    <mergeCell ref="Z4:AA4"/>
    <mergeCell ref="AB4:AC4"/>
    <mergeCell ref="A90:B90"/>
    <mergeCell ref="A1:AF1"/>
    <mergeCell ref="A3:A5"/>
    <mergeCell ref="B3:B5"/>
    <mergeCell ref="C3:C5"/>
    <mergeCell ref="AE3:AE5"/>
    <mergeCell ref="AF3:AF5"/>
    <mergeCell ref="D4:E4"/>
    <mergeCell ref="F4:G4"/>
    <mergeCell ref="H4:I4"/>
    <mergeCell ref="J4:K4"/>
    <mergeCell ref="L4:M4"/>
    <mergeCell ref="N4:O4"/>
    <mergeCell ref="X4:Y4"/>
    <mergeCell ref="P4:Q4"/>
    <mergeCell ref="D3:AD3"/>
  </mergeCells>
  <printOptions horizontalCentered="1"/>
  <pageMargins left="0.19685039370078741" right="0.19685039370078741" top="0.19685039370078741" bottom="0.19685039370078741" header="0" footer="0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2024-12-27T10:15:15Z</cp:lastPrinted>
  <dcterms:created xsi:type="dcterms:W3CDTF">2021-01-28T12:39:41Z</dcterms:created>
  <dcterms:modified xsi:type="dcterms:W3CDTF">2024-12-27T10:16:25Z</dcterms:modified>
</cp:coreProperties>
</file>